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CITUDES RESPONDIDAS 2016\solicitud 00210IEEMIP2016\"/>
    </mc:Choice>
  </mc:AlternateContent>
  <bookViews>
    <workbookView xWindow="0" yWindow="0" windowWidth="19200" windowHeight="11610"/>
  </bookViews>
  <sheets>
    <sheet name="Aytos_1996" sheetId="4" r:id="rId1"/>
    <sheet name="Aytos_2000" sheetId="6" r:id="rId2"/>
    <sheet name="Aytos_2003" sheetId="5" r:id="rId3"/>
    <sheet name="Aytos_2006" sheetId="1" r:id="rId4"/>
    <sheet name="Aytos_2009" sheetId="2" r:id="rId5"/>
    <sheet name="Aytos_2012" sheetId="3" r:id="rId6"/>
    <sheet name="Aytos_2015" sheetId="7" r:id="rId7"/>
    <sheet name="ExtraChiautla_2016" sheetId="8" r:id="rId8"/>
  </sheets>
  <externalReferences>
    <externalReference r:id="rId9"/>
    <externalReference r:id="rId10"/>
    <externalReference r:id="rId11"/>
    <externalReference r:id="rId12"/>
  </externalReferences>
  <definedNames>
    <definedName name="_xlnm.Print_Area" localSheetId="2">Aytos_2003!$A$1:$Z$163</definedName>
    <definedName name="_xlnm.Print_Area" localSheetId="3">Aytos_2006!$A$10:$AA$160</definedName>
    <definedName name="_xlnm.Print_Area" localSheetId="4">Aytos_2009!$A$1:$BT$183</definedName>
    <definedName name="T_Es">[1]PRD!$D$55</definedName>
    <definedName name="TABLE" localSheetId="0">Aytos_1996!$A$2:$N$52</definedName>
    <definedName name="_xlnm.Print_Titles" localSheetId="0">Aytos_1996!$1:$5</definedName>
    <definedName name="_xlnm.Print_Titles" localSheetId="1">Aytos_2000!$1:$5</definedName>
    <definedName name="_xlnm.Print_Titles" localSheetId="2">Aytos_2003!$1:$6</definedName>
    <definedName name="_xlnm.Print_Titles" localSheetId="3">Aytos_2006!$1:$9</definedName>
    <definedName name="_xlnm.Print_Titles" localSheetId="4">Aytos_2009!$A:$A,Aytos_2009!$1:$11</definedName>
    <definedName name="_xlnm.Print_Titles">#N/A</definedName>
    <definedName name="totalestatal">#REF!</definedName>
    <definedName name="totest">#REF!</definedName>
    <definedName name="TotEstatal">[1]PAN!$D$55</definedName>
    <definedName name="votvalefec">#REF!</definedName>
    <definedName name="votvalefec2" localSheetId="4">'[2]vot tot c anuladas'!#REF!</definedName>
    <definedName name="votvalefec2">'[3]vot tot c anuladas'!#REF!</definedName>
    <definedName name="votvalefec3">#REF!</definedName>
    <definedName name="votvalefect" localSheetId="4">#REF!</definedName>
    <definedName name="votvalefect">#REF!</definedName>
    <definedName name="votvalefect2">#REF!</definedName>
  </definedNames>
  <calcPr calcId="152511"/>
</workbook>
</file>

<file path=xl/calcChain.xml><?xml version="1.0" encoding="utf-8"?>
<calcChain xmlns="http://schemas.openxmlformats.org/spreadsheetml/2006/main">
  <c r="Z133" i="7" l="1"/>
  <c r="Y133" i="7"/>
  <c r="X133" i="7"/>
  <c r="W133" i="7"/>
  <c r="V133" i="7"/>
  <c r="U133" i="7"/>
  <c r="T133" i="7"/>
  <c r="S133" i="7"/>
  <c r="R133" i="7"/>
  <c r="Q133" i="7"/>
  <c r="P133" i="7"/>
  <c r="O133" i="7"/>
  <c r="N133" i="7"/>
  <c r="M133" i="7"/>
  <c r="L133" i="7"/>
  <c r="K133" i="7"/>
  <c r="J133" i="7"/>
  <c r="I133" i="7"/>
  <c r="H133" i="7"/>
  <c r="G133" i="7"/>
  <c r="E133" i="7"/>
  <c r="F133" i="7" s="1"/>
  <c r="D133" i="7"/>
  <c r="C133" i="7"/>
  <c r="AC132" i="7"/>
  <c r="AY132" i="7" s="1"/>
  <c r="BE132" i="7" s="1"/>
  <c r="AA132" i="7"/>
  <c r="AB132" i="7" s="1"/>
  <c r="F132" i="7"/>
  <c r="AX131" i="7"/>
  <c r="AW131" i="7"/>
  <c r="AT131" i="7"/>
  <c r="AS131" i="7"/>
  <c r="BB131" i="7" s="1"/>
  <c r="AQ131" i="7"/>
  <c r="AP131" i="7"/>
  <c r="AO131" i="7"/>
  <c r="AN131" i="7"/>
  <c r="AM131" i="7"/>
  <c r="AL131" i="7"/>
  <c r="AK131" i="7"/>
  <c r="AJ131" i="7"/>
  <c r="BD131" i="7"/>
  <c r="BF131" i="7" s="1"/>
  <c r="BG131" i="7" s="1"/>
  <c r="AH131" i="7"/>
  <c r="AF131" i="7"/>
  <c r="AA131" i="7"/>
  <c r="AB131" i="7" s="1"/>
  <c r="F131" i="7"/>
  <c r="AD130" i="7"/>
  <c r="AC130" i="7"/>
  <c r="AY130" i="7"/>
  <c r="AA130" i="7"/>
  <c r="AB130" i="7"/>
  <c r="F130" i="7"/>
  <c r="AD129" i="7"/>
  <c r="AZ129" i="7" s="1"/>
  <c r="AC129" i="7"/>
  <c r="AY129" i="7" s="1"/>
  <c r="AB129" i="7"/>
  <c r="AA129" i="7"/>
  <c r="F129" i="7"/>
  <c r="AX128" i="7"/>
  <c r="AW128" i="7"/>
  <c r="AT128" i="7"/>
  <c r="AS128" i="7"/>
  <c r="AF128" i="7" s="1"/>
  <c r="AR128" i="7"/>
  <c r="BB128" i="7"/>
  <c r="AQ128" i="7"/>
  <c r="AP128" i="7"/>
  <c r="AO128" i="7"/>
  <c r="AN128" i="7"/>
  <c r="AM128" i="7"/>
  <c r="AL128" i="7"/>
  <c r="AK128" i="7"/>
  <c r="AJ128" i="7"/>
  <c r="BD128" i="7" s="1"/>
  <c r="BF128" i="7" s="1"/>
  <c r="BG128" i="7" s="1"/>
  <c r="AH128" i="7"/>
  <c r="AE128" i="7"/>
  <c r="AG128" i="7" s="1"/>
  <c r="AB128" i="7"/>
  <c r="AA128" i="7"/>
  <c r="F128" i="7"/>
  <c r="AD127" i="7"/>
  <c r="AZ127" i="7"/>
  <c r="AC127" i="7"/>
  <c r="AX127" i="7"/>
  <c r="AA127" i="7"/>
  <c r="AB127" i="7"/>
  <c r="F127" i="7"/>
  <c r="AX126" i="7"/>
  <c r="AW126" i="7"/>
  <c r="AT126" i="7"/>
  <c r="AS126" i="7"/>
  <c r="AR126" i="7"/>
  <c r="BE126" i="7" s="1"/>
  <c r="AQ126" i="7"/>
  <c r="AP126" i="7"/>
  <c r="AO126" i="7"/>
  <c r="AN126" i="7"/>
  <c r="AM126" i="7"/>
  <c r="AL126" i="7"/>
  <c r="AK126" i="7"/>
  <c r="AJ126" i="7"/>
  <c r="BA126" i="7"/>
  <c r="BC126" i="7" s="1"/>
  <c r="AH126" i="7"/>
  <c r="AI126" i="7" s="1"/>
  <c r="AE126" i="7"/>
  <c r="AG126" i="7" s="1"/>
  <c r="AA126" i="7"/>
  <c r="F126" i="7"/>
  <c r="AC125" i="7"/>
  <c r="AO125" i="7" s="1"/>
  <c r="AB125" i="7"/>
  <c r="AA125" i="7"/>
  <c r="F125" i="7"/>
  <c r="AC124" i="7"/>
  <c r="AJ124" i="7" s="1"/>
  <c r="AB124" i="7"/>
  <c r="AA124" i="7"/>
  <c r="F124" i="7"/>
  <c r="AD123" i="7"/>
  <c r="AZ123" i="7"/>
  <c r="AC123" i="7"/>
  <c r="AY123" i="7"/>
  <c r="AA123" i="7"/>
  <c r="AB123" i="7" s="1"/>
  <c r="F123" i="7"/>
  <c r="AD122" i="7"/>
  <c r="AZ122" i="7" s="1"/>
  <c r="AC122" i="7"/>
  <c r="AY122" i="7" s="1"/>
  <c r="AF122" i="7" s="1"/>
  <c r="AG122" i="7" s="1"/>
  <c r="AA122" i="7"/>
  <c r="AB122" i="7" s="1"/>
  <c r="F122" i="7"/>
  <c r="AL121" i="7"/>
  <c r="AC121" i="7"/>
  <c r="AQ121" i="7" s="1"/>
  <c r="BD121" i="7" s="1"/>
  <c r="AY121" i="7"/>
  <c r="AA121" i="7"/>
  <c r="AB121" i="7" s="1"/>
  <c r="F121" i="7"/>
  <c r="AX120" i="7"/>
  <c r="AW120" i="7"/>
  <c r="AU120" i="7"/>
  <c r="BE120" i="7" s="1"/>
  <c r="AQ120" i="7"/>
  <c r="AP120" i="7"/>
  <c r="AO120" i="7"/>
  <c r="AN120" i="7"/>
  <c r="AM120" i="7"/>
  <c r="AL120" i="7"/>
  <c r="AK120" i="7"/>
  <c r="AJ120" i="7"/>
  <c r="BA120" i="7"/>
  <c r="BC120" i="7" s="1"/>
  <c r="AH120" i="7"/>
  <c r="AI120" i="7" s="1"/>
  <c r="AF120" i="7"/>
  <c r="AA120" i="7"/>
  <c r="AB120" i="7" s="1"/>
  <c r="F120" i="7"/>
  <c r="AC119" i="7"/>
  <c r="AX119" i="7" s="1"/>
  <c r="AA119" i="7"/>
  <c r="AB119" i="7" s="1"/>
  <c r="F119" i="7"/>
  <c r="AC118" i="7"/>
  <c r="AJ118" i="7" s="1"/>
  <c r="AA118" i="7"/>
  <c r="AB118" i="7"/>
  <c r="F118" i="7"/>
  <c r="AS117" i="7"/>
  <c r="AL117" i="7"/>
  <c r="AC117" i="7"/>
  <c r="AO117" i="7" s="1"/>
  <c r="AB117" i="7"/>
  <c r="AA117" i="7"/>
  <c r="F117" i="7"/>
  <c r="AC116" i="7"/>
  <c r="AY116" i="7"/>
  <c r="AA116" i="7"/>
  <c r="AB116" i="7"/>
  <c r="F116" i="7"/>
  <c r="AC115" i="7"/>
  <c r="AX115" i="7" s="1"/>
  <c r="AB115" i="7"/>
  <c r="AA115" i="7"/>
  <c r="F115" i="7"/>
  <c r="AC114" i="7"/>
  <c r="AY114" i="7"/>
  <c r="AA114" i="7"/>
  <c r="AB114" i="7"/>
  <c r="F114" i="7"/>
  <c r="AC113" i="7"/>
  <c r="AX113" i="7" s="1"/>
  <c r="AA113" i="7"/>
  <c r="AB113" i="7" s="1"/>
  <c r="F113" i="7"/>
  <c r="AD112" i="7"/>
  <c r="AZ112" i="7"/>
  <c r="AC112" i="7"/>
  <c r="AY112" i="7"/>
  <c r="AA112" i="7"/>
  <c r="AB112" i="7"/>
  <c r="F112" i="7"/>
  <c r="AX111" i="7"/>
  <c r="AR111" i="7"/>
  <c r="BB111" i="7" s="1"/>
  <c r="AL111" i="7"/>
  <c r="AC111" i="7"/>
  <c r="AT111" i="7" s="1"/>
  <c r="AY111" i="7"/>
  <c r="AA111" i="7"/>
  <c r="F111" i="7"/>
  <c r="AX110" i="7"/>
  <c r="AW110" i="7"/>
  <c r="AT110" i="7"/>
  <c r="AQ110" i="7"/>
  <c r="AP110" i="7"/>
  <c r="AN110" i="7"/>
  <c r="AL110" i="7"/>
  <c r="AK110" i="7"/>
  <c r="AJ110" i="7"/>
  <c r="BD110" i="7"/>
  <c r="BF110" i="7" s="1"/>
  <c r="BG110" i="7"/>
  <c r="AH110" i="7"/>
  <c r="AF110" i="7"/>
  <c r="AA110" i="7"/>
  <c r="AB110" i="7" s="1"/>
  <c r="F110" i="7"/>
  <c r="AD109" i="7"/>
  <c r="AC109" i="7"/>
  <c r="AB109" i="7"/>
  <c r="AA109" i="7"/>
  <c r="F109" i="7"/>
  <c r="AD108" i="7"/>
  <c r="AC108" i="7"/>
  <c r="AZ108" i="7" s="1"/>
  <c r="AA108" i="7"/>
  <c r="AB108" i="7" s="1"/>
  <c r="F108" i="7"/>
  <c r="AV107" i="7"/>
  <c r="AR107" i="7"/>
  <c r="AL107" i="7"/>
  <c r="AC107" i="7"/>
  <c r="AX107" i="7" s="1"/>
  <c r="AY107" i="7"/>
  <c r="AA107" i="7"/>
  <c r="AB107" i="7" s="1"/>
  <c r="F107" i="7"/>
  <c r="AX106" i="7"/>
  <c r="AW106" i="7"/>
  <c r="AS106" i="7"/>
  <c r="BB106" i="7" s="1"/>
  <c r="AQ106" i="7"/>
  <c r="AP106" i="7"/>
  <c r="AO106" i="7"/>
  <c r="AN106" i="7"/>
  <c r="AM106" i="7"/>
  <c r="AL106" i="7"/>
  <c r="AK106" i="7"/>
  <c r="BA106" i="7" s="1"/>
  <c r="BC106" i="7" s="1"/>
  <c r="AJ106" i="7"/>
  <c r="BD106" i="7"/>
  <c r="BF106" i="7" s="1"/>
  <c r="AH106" i="7"/>
  <c r="AF106" i="7"/>
  <c r="AA106" i="7"/>
  <c r="AB106" i="7" s="1"/>
  <c r="F106" i="7"/>
  <c r="AX105" i="7"/>
  <c r="AW105" i="7"/>
  <c r="AR105" i="7"/>
  <c r="BB105" i="7" s="1"/>
  <c r="AQ105" i="7"/>
  <c r="AP105" i="7"/>
  <c r="AO105" i="7"/>
  <c r="AN105" i="7"/>
  <c r="AL105" i="7"/>
  <c r="AK105" i="7"/>
  <c r="AJ105" i="7"/>
  <c r="BA105" i="7" s="1"/>
  <c r="BC105" i="7"/>
  <c r="AH105" i="7"/>
  <c r="AE105" i="7"/>
  <c r="AG105" i="7" s="1"/>
  <c r="AA105" i="7"/>
  <c r="AI105" i="7" s="1"/>
  <c r="F105" i="7"/>
  <c r="AR104" i="7"/>
  <c r="AL104" i="7"/>
  <c r="AC104" i="7"/>
  <c r="AX104" i="7" s="1"/>
  <c r="AY104" i="7"/>
  <c r="AA104" i="7"/>
  <c r="AB104" i="7" s="1"/>
  <c r="F104" i="7"/>
  <c r="AD103" i="7"/>
  <c r="AW103" i="7" s="1"/>
  <c r="AA103" i="7"/>
  <c r="AB103" i="7" s="1"/>
  <c r="F103" i="7"/>
  <c r="AC102" i="7"/>
  <c r="AX102" i="7"/>
  <c r="AA102" i="7"/>
  <c r="AB102" i="7"/>
  <c r="F102" i="7"/>
  <c r="AC101" i="7"/>
  <c r="AY101" i="7" s="1"/>
  <c r="AA101" i="7"/>
  <c r="AB101" i="7" s="1"/>
  <c r="F101" i="7"/>
  <c r="AC100" i="7"/>
  <c r="AX100" i="7"/>
  <c r="AA100" i="7"/>
  <c r="AB100" i="7"/>
  <c r="F100" i="7"/>
  <c r="AC99" i="7"/>
  <c r="AX99" i="7" s="1"/>
  <c r="AA99" i="7"/>
  <c r="AB99" i="7" s="1"/>
  <c r="F99" i="7"/>
  <c r="AD98" i="7"/>
  <c r="AX98" i="7"/>
  <c r="AA98" i="7"/>
  <c r="AB98" i="7"/>
  <c r="F98" i="7"/>
  <c r="AC97" i="7"/>
  <c r="AB97" i="7"/>
  <c r="AA97" i="7"/>
  <c r="F97" i="7"/>
  <c r="AC96" i="7"/>
  <c r="AY96" i="7"/>
  <c r="AA96" i="7"/>
  <c r="AB96" i="7"/>
  <c r="F96" i="7"/>
  <c r="AD95" i="7"/>
  <c r="AC95" i="7"/>
  <c r="AB95" i="7"/>
  <c r="AA95" i="7"/>
  <c r="F95" i="7"/>
  <c r="AL94" i="7"/>
  <c r="BD94" i="7" s="1"/>
  <c r="AD94" i="7"/>
  <c r="AO94" i="7" s="1"/>
  <c r="AZ94" i="7"/>
  <c r="AA94" i="7"/>
  <c r="AB94" i="7" s="1"/>
  <c r="F94" i="7"/>
  <c r="AC93" i="7"/>
  <c r="AY93" i="7" s="1"/>
  <c r="AA93" i="7"/>
  <c r="AB93" i="7" s="1"/>
  <c r="F93" i="7"/>
  <c r="AC92" i="7"/>
  <c r="AB92" i="7"/>
  <c r="AA92" i="7"/>
  <c r="F92" i="7"/>
  <c r="AD91" i="7"/>
  <c r="AZ91" i="7"/>
  <c r="AC91" i="7"/>
  <c r="AX91" i="7"/>
  <c r="AA91" i="7"/>
  <c r="AB91" i="7"/>
  <c r="F91" i="7"/>
  <c r="AD90" i="7"/>
  <c r="AX90" i="7" s="1"/>
  <c r="AA90" i="7"/>
  <c r="AB90" i="7" s="1"/>
  <c r="F90" i="7"/>
  <c r="AT89" i="7"/>
  <c r="AL89" i="7"/>
  <c r="AC89" i="7"/>
  <c r="AY89" i="7"/>
  <c r="AA89" i="7"/>
  <c r="F89" i="7"/>
  <c r="AX88" i="7"/>
  <c r="AW88" i="7"/>
  <c r="AS88" i="7"/>
  <c r="BB88" i="7" s="1"/>
  <c r="AQ88" i="7"/>
  <c r="AP88" i="7"/>
  <c r="AO88" i="7"/>
  <c r="AN88" i="7"/>
  <c r="AL88" i="7"/>
  <c r="AK88" i="7"/>
  <c r="AJ88" i="7"/>
  <c r="AH88" i="7"/>
  <c r="AA88" i="7"/>
  <c r="F88" i="7"/>
  <c r="AD87" i="7"/>
  <c r="AY87" i="7"/>
  <c r="AC87" i="7"/>
  <c r="AX87" i="7"/>
  <c r="AA87" i="7"/>
  <c r="AB87" i="7" s="1"/>
  <c r="F87" i="7"/>
  <c r="AX86" i="7"/>
  <c r="AW86" i="7"/>
  <c r="AQ86" i="7"/>
  <c r="AP86" i="7"/>
  <c r="AO86" i="7"/>
  <c r="AN86" i="7"/>
  <c r="AM86" i="7"/>
  <c r="AL86" i="7"/>
  <c r="AK86" i="7"/>
  <c r="AJ86" i="7"/>
  <c r="AH86" i="7"/>
  <c r="AA86" i="7"/>
  <c r="AI86" i="7" s="1"/>
  <c r="F86" i="7"/>
  <c r="AL85" i="7"/>
  <c r="AC85" i="7"/>
  <c r="AX85" i="7" s="1"/>
  <c r="BE85" i="7" s="1"/>
  <c r="AY85" i="7"/>
  <c r="AA85" i="7"/>
  <c r="AB85" i="7" s="1"/>
  <c r="F85" i="7"/>
  <c r="AX84" i="7"/>
  <c r="AW84" i="7"/>
  <c r="AT84" i="7"/>
  <c r="AS84" i="7"/>
  <c r="AR84" i="7"/>
  <c r="AQ84" i="7"/>
  <c r="AP84" i="7"/>
  <c r="AO84" i="7"/>
  <c r="AN84" i="7"/>
  <c r="AM84" i="7"/>
  <c r="AL84" i="7"/>
  <c r="AK84" i="7"/>
  <c r="AJ84" i="7"/>
  <c r="BD84" i="7"/>
  <c r="BF84" i="7" s="1"/>
  <c r="BG84" i="7"/>
  <c r="AH84" i="7"/>
  <c r="BH84" i="7"/>
  <c r="AB84" i="7"/>
  <c r="AA84" i="7"/>
  <c r="F84" i="7"/>
  <c r="AC83" i="7"/>
  <c r="AB83" i="7"/>
  <c r="AA83" i="7"/>
  <c r="F83" i="7"/>
  <c r="AX82" i="7"/>
  <c r="AW82" i="7"/>
  <c r="AT82" i="7"/>
  <c r="AS82" i="7"/>
  <c r="AF82" i="7" s="1"/>
  <c r="AR82" i="7"/>
  <c r="BB82" i="7"/>
  <c r="AQ82" i="7"/>
  <c r="AP82" i="7"/>
  <c r="AO82" i="7"/>
  <c r="AN82" i="7"/>
  <c r="AM82" i="7"/>
  <c r="AL82" i="7"/>
  <c r="AK82" i="7"/>
  <c r="AJ82" i="7"/>
  <c r="BD82" i="7" s="1"/>
  <c r="BF82" i="7"/>
  <c r="AH82" i="7"/>
  <c r="AB82" i="7"/>
  <c r="AA82" i="7"/>
  <c r="F82" i="7"/>
  <c r="AW81" i="7"/>
  <c r="AR81" i="7"/>
  <c r="AL81" i="7"/>
  <c r="AC81" i="7"/>
  <c r="AY81" i="7" s="1"/>
  <c r="AX81" i="7"/>
  <c r="AA81" i="7"/>
  <c r="AB81" i="7" s="1"/>
  <c r="F81" i="7"/>
  <c r="AD80" i="7"/>
  <c r="AC80" i="7"/>
  <c r="AZ80" i="7"/>
  <c r="AA80" i="7"/>
  <c r="AB80" i="7"/>
  <c r="F80" i="7"/>
  <c r="AX79" i="7"/>
  <c r="AL79" i="7"/>
  <c r="AC79" i="7"/>
  <c r="AT79" i="7" s="1"/>
  <c r="AF79" i="7" s="1"/>
  <c r="AY79" i="7"/>
  <c r="AA79" i="7"/>
  <c r="AB79" i="7" s="1"/>
  <c r="F79" i="7"/>
  <c r="AC78" i="7"/>
  <c r="AA78" i="7"/>
  <c r="AB78" i="7" s="1"/>
  <c r="F78" i="7"/>
  <c r="AS77" i="7"/>
  <c r="AL77" i="7"/>
  <c r="AC77" i="7"/>
  <c r="AX77" i="7" s="1"/>
  <c r="AY77" i="7"/>
  <c r="AA77" i="7"/>
  <c r="AB77" i="7" s="1"/>
  <c r="F77" i="7"/>
  <c r="AD76" i="7"/>
  <c r="AB76" i="7"/>
  <c r="AA76" i="7"/>
  <c r="F76" i="7"/>
  <c r="AD75" i="7"/>
  <c r="AZ75" i="7"/>
  <c r="AA75" i="7"/>
  <c r="AB75" i="7"/>
  <c r="F75" i="7"/>
  <c r="AX74" i="7"/>
  <c r="AL74" i="7"/>
  <c r="AC74" i="7"/>
  <c r="AQ74" i="7" s="1"/>
  <c r="AY74" i="7"/>
  <c r="BE74" i="7" s="1"/>
  <c r="AA74" i="7"/>
  <c r="AB74" i="7" s="1"/>
  <c r="F74" i="7"/>
  <c r="AY73" i="7"/>
  <c r="AS73" i="7"/>
  <c r="AL73" i="7"/>
  <c r="AC73" i="7"/>
  <c r="AW73" i="7" s="1"/>
  <c r="AX73" i="7"/>
  <c r="AA73" i="7"/>
  <c r="AB73" i="7" s="1"/>
  <c r="F73" i="7"/>
  <c r="BD72" i="7"/>
  <c r="BF72" i="7" s="1"/>
  <c r="AX72" i="7"/>
  <c r="AW72" i="7"/>
  <c r="AT72" i="7"/>
  <c r="AR72" i="7"/>
  <c r="AQ72" i="7"/>
  <c r="AP72" i="7"/>
  <c r="AO72" i="7"/>
  <c r="AN72" i="7"/>
  <c r="AM72" i="7"/>
  <c r="AL72" i="7"/>
  <c r="AK72" i="7"/>
  <c r="AE72" i="7" s="1"/>
  <c r="AJ72" i="7"/>
  <c r="BA72" i="7"/>
  <c r="BC72" i="7" s="1"/>
  <c r="AH72" i="7"/>
  <c r="BH72" i="7" s="1"/>
  <c r="AG72" i="7"/>
  <c r="AA72" i="7"/>
  <c r="AB72" i="7"/>
  <c r="F72" i="7"/>
  <c r="AC71" i="7"/>
  <c r="AY71" i="7" s="1"/>
  <c r="AA71" i="7"/>
  <c r="AB71" i="7" s="1"/>
  <c r="F71" i="7"/>
  <c r="AT70" i="7"/>
  <c r="AC70" i="7"/>
  <c r="AB70" i="7"/>
  <c r="AA70" i="7"/>
  <c r="F70" i="7"/>
  <c r="AW69" i="7"/>
  <c r="AL69" i="7"/>
  <c r="AC69" i="7"/>
  <c r="AY69" i="7" s="1"/>
  <c r="AX69" i="7"/>
  <c r="AA69" i="7"/>
  <c r="AB69" i="7" s="1"/>
  <c r="F69" i="7"/>
  <c r="AC68" i="7"/>
  <c r="AX68" i="7" s="1"/>
  <c r="AA68" i="7"/>
  <c r="AB68" i="7" s="1"/>
  <c r="F68" i="7"/>
  <c r="AX67" i="7"/>
  <c r="AW67" i="7"/>
  <c r="AT67" i="7"/>
  <c r="AS67" i="7"/>
  <c r="AR67" i="7"/>
  <c r="AQ67" i="7"/>
  <c r="AP67" i="7"/>
  <c r="AO67" i="7"/>
  <c r="AN67" i="7"/>
  <c r="AM67" i="7"/>
  <c r="AL67" i="7"/>
  <c r="AK67" i="7"/>
  <c r="AJ67" i="7"/>
  <c r="BA67" i="7" s="1"/>
  <c r="BC67" i="7" s="1"/>
  <c r="AH67" i="7"/>
  <c r="AA67" i="7"/>
  <c r="AB67" i="7"/>
  <c r="F67" i="7"/>
  <c r="AX66" i="7"/>
  <c r="AR66" i="7"/>
  <c r="AL66" i="7"/>
  <c r="AC66" i="7"/>
  <c r="AT66" i="7" s="1"/>
  <c r="AY66" i="7"/>
  <c r="AA66" i="7"/>
  <c r="AB66" i="7" s="1"/>
  <c r="F66" i="7"/>
  <c r="AC65" i="7"/>
  <c r="AA65" i="7"/>
  <c r="AB65" i="7" s="1"/>
  <c r="F65" i="7"/>
  <c r="AX64" i="7"/>
  <c r="AW64" i="7"/>
  <c r="AT64" i="7"/>
  <c r="AS64" i="7"/>
  <c r="AQ64" i="7"/>
  <c r="AO64" i="7"/>
  <c r="AN64" i="7"/>
  <c r="AM64" i="7"/>
  <c r="AL64" i="7"/>
  <c r="AK64" i="7"/>
  <c r="AJ64" i="7"/>
  <c r="AH64" i="7"/>
  <c r="AA64" i="7"/>
  <c r="AB64" i="7" s="1"/>
  <c r="F64" i="7"/>
  <c r="AD63" i="7"/>
  <c r="AC63" i="7"/>
  <c r="AW63" i="7" s="1"/>
  <c r="AA63" i="7"/>
  <c r="AB63" i="7" s="1"/>
  <c r="F63" i="7"/>
  <c r="AO62" i="7"/>
  <c r="AC62" i="7"/>
  <c r="AB62" i="7"/>
  <c r="AA62" i="7"/>
  <c r="F62" i="7"/>
  <c r="AO61" i="7"/>
  <c r="AD61" i="7"/>
  <c r="AB61" i="7"/>
  <c r="AA61" i="7"/>
  <c r="F61" i="7"/>
  <c r="AD60" i="7"/>
  <c r="AW60" i="7"/>
  <c r="AA60" i="7"/>
  <c r="AB60" i="7"/>
  <c r="F60" i="7"/>
  <c r="AX59" i="7"/>
  <c r="AR59" i="7"/>
  <c r="AL59" i="7"/>
  <c r="AC59" i="7"/>
  <c r="AT59" i="7" s="1"/>
  <c r="AY59" i="7"/>
  <c r="AA59" i="7"/>
  <c r="AB59" i="7" s="1"/>
  <c r="F59" i="7"/>
  <c r="AY58" i="7"/>
  <c r="AJ58" i="7"/>
  <c r="AC58" i="7"/>
  <c r="AR58" i="7" s="1"/>
  <c r="AA58" i="7"/>
  <c r="AB58" i="7" s="1"/>
  <c r="F58" i="7"/>
  <c r="AD57" i="7"/>
  <c r="AC57" i="7"/>
  <c r="AY57" i="7" s="1"/>
  <c r="AA57" i="7"/>
  <c r="AB57" i="7" s="1"/>
  <c r="F57" i="7"/>
  <c r="AC56" i="7"/>
  <c r="AB56" i="7"/>
  <c r="AA56" i="7"/>
  <c r="F56" i="7"/>
  <c r="AS55" i="7"/>
  <c r="AL55" i="7"/>
  <c r="AD55" i="7"/>
  <c r="AZ55" i="7" s="1"/>
  <c r="AB55" i="7"/>
  <c r="AA55" i="7"/>
  <c r="F55" i="7"/>
  <c r="AC54" i="7"/>
  <c r="AY54" i="7"/>
  <c r="AA54" i="7"/>
  <c r="AB54" i="7"/>
  <c r="F54" i="7"/>
  <c r="AX53" i="7"/>
  <c r="AL53" i="7"/>
  <c r="AD53" i="7"/>
  <c r="AT53" i="7" s="1"/>
  <c r="AZ53" i="7"/>
  <c r="AA53" i="7"/>
  <c r="AB53" i="7" s="1"/>
  <c r="F53" i="7"/>
  <c r="AC52" i="7"/>
  <c r="AA52" i="7"/>
  <c r="AB52" i="7" s="1"/>
  <c r="F52" i="7"/>
  <c r="AD51" i="7"/>
  <c r="AY51" i="7"/>
  <c r="AC51" i="7"/>
  <c r="AX51" i="7"/>
  <c r="AA51" i="7"/>
  <c r="AB51" i="7" s="1"/>
  <c r="F51" i="7"/>
  <c r="AX50" i="7"/>
  <c r="AW50" i="7"/>
  <c r="AT50" i="7"/>
  <c r="AS50" i="7"/>
  <c r="AR50" i="7"/>
  <c r="AQ50" i="7"/>
  <c r="AP50" i="7"/>
  <c r="AO50" i="7"/>
  <c r="AN50" i="7"/>
  <c r="AM50" i="7"/>
  <c r="AL50" i="7"/>
  <c r="AK50" i="7"/>
  <c r="AE50" i="7" s="1"/>
  <c r="AG50" i="7" s="1"/>
  <c r="AJ50" i="7"/>
  <c r="BD50" i="7"/>
  <c r="BF50" i="7" s="1"/>
  <c r="AH50" i="7"/>
  <c r="AB50" i="7"/>
  <c r="AA50" i="7"/>
  <c r="F50" i="7"/>
  <c r="AW49" i="7"/>
  <c r="AL49" i="7"/>
  <c r="AC49" i="7"/>
  <c r="AY49" i="7" s="1"/>
  <c r="AX49" i="7"/>
  <c r="BE49" i="7" s="1"/>
  <c r="AA49" i="7"/>
  <c r="AB49" i="7" s="1"/>
  <c r="F49" i="7"/>
  <c r="AD48" i="7"/>
  <c r="AC48" i="7"/>
  <c r="AZ48" i="7"/>
  <c r="AA48" i="7"/>
  <c r="AB48" i="7"/>
  <c r="F48" i="7"/>
  <c r="AX47" i="7"/>
  <c r="AR47" i="7"/>
  <c r="AL47" i="7"/>
  <c r="AC47" i="7"/>
  <c r="AT47" i="7" s="1"/>
  <c r="AY47" i="7"/>
  <c r="AA47" i="7"/>
  <c r="AB47" i="7" s="1"/>
  <c r="F47" i="7"/>
  <c r="AC46" i="7"/>
  <c r="AA46" i="7"/>
  <c r="AB46" i="7" s="1"/>
  <c r="F46" i="7"/>
  <c r="AO45" i="7"/>
  <c r="AC45" i="7"/>
  <c r="AB45" i="7"/>
  <c r="AA45" i="7"/>
  <c r="F45" i="7"/>
  <c r="AD44" i="7"/>
  <c r="AC44" i="7"/>
  <c r="AA44" i="7"/>
  <c r="AB44" i="7" s="1"/>
  <c r="F44" i="7"/>
  <c r="AC43" i="7"/>
  <c r="AX43" i="7"/>
  <c r="AA43" i="7"/>
  <c r="AB43" i="7"/>
  <c r="F43" i="7"/>
  <c r="BE42" i="7"/>
  <c r="AX42" i="7"/>
  <c r="BB42" i="7"/>
  <c r="AW42" i="7"/>
  <c r="AQ42" i="7"/>
  <c r="AP42" i="7"/>
  <c r="AO42" i="7"/>
  <c r="AN42" i="7"/>
  <c r="AM42" i="7"/>
  <c r="AL42" i="7"/>
  <c r="AK42" i="7"/>
  <c r="AE42" i="7" s="1"/>
  <c r="AJ42" i="7"/>
  <c r="BA42" i="7"/>
  <c r="BC42" i="7" s="1"/>
  <c r="AH42" i="7"/>
  <c r="AF42" i="7"/>
  <c r="AB42" i="7"/>
  <c r="AA42" i="7"/>
  <c r="F42" i="7"/>
  <c r="AC41" i="7"/>
  <c r="AY41" i="7"/>
  <c r="AA41" i="7"/>
  <c r="AB41" i="7"/>
  <c r="F41" i="7"/>
  <c r="BE40" i="7"/>
  <c r="AX40" i="7"/>
  <c r="AW40" i="7"/>
  <c r="AR40" i="7"/>
  <c r="BB40" i="7"/>
  <c r="AQ40" i="7"/>
  <c r="AP40" i="7"/>
  <c r="AN40" i="7"/>
  <c r="AM40" i="7"/>
  <c r="AL40" i="7"/>
  <c r="AK40" i="7"/>
  <c r="AJ40" i="7"/>
  <c r="BA40" i="7"/>
  <c r="BC40" i="7" s="1"/>
  <c r="AH40" i="7"/>
  <c r="AI40" i="7" s="1"/>
  <c r="AF40" i="7"/>
  <c r="AB40" i="7"/>
  <c r="AA40" i="7"/>
  <c r="F40" i="7"/>
  <c r="AJ39" i="7"/>
  <c r="AC39" i="7"/>
  <c r="AQ39" i="7" s="1"/>
  <c r="AA39" i="7"/>
  <c r="AB39" i="7" s="1"/>
  <c r="F39" i="7"/>
  <c r="AC38" i="7"/>
  <c r="AX38" i="7"/>
  <c r="AA38" i="7"/>
  <c r="AB38" i="7"/>
  <c r="F38" i="7"/>
  <c r="AX37" i="7"/>
  <c r="AR37" i="7"/>
  <c r="AL37" i="7"/>
  <c r="AC37" i="7"/>
  <c r="AT37" i="7" s="1"/>
  <c r="AY37" i="7"/>
  <c r="AA37" i="7"/>
  <c r="AB37" i="7" s="1"/>
  <c r="F37" i="7"/>
  <c r="AY36" i="7"/>
  <c r="AS36" i="7"/>
  <c r="AL36" i="7"/>
  <c r="AC36" i="7"/>
  <c r="AW36" i="7" s="1"/>
  <c r="AX36" i="7"/>
  <c r="AA36" i="7"/>
  <c r="AB36" i="7" s="1"/>
  <c r="F36" i="7"/>
  <c r="AD35" i="7"/>
  <c r="AC35" i="7"/>
  <c r="AX35" i="7"/>
  <c r="AA35" i="7"/>
  <c r="AB35" i="7"/>
  <c r="F35" i="7"/>
  <c r="AD34" i="7"/>
  <c r="AC34" i="7"/>
  <c r="AA34" i="7"/>
  <c r="AB34" i="7"/>
  <c r="F34" i="7"/>
  <c r="AX33" i="7"/>
  <c r="AR33" i="7"/>
  <c r="AL33" i="7"/>
  <c r="AC33" i="7"/>
  <c r="AT33" i="7" s="1"/>
  <c r="AY33" i="7"/>
  <c r="AA33" i="7"/>
  <c r="AB33" i="7" s="1"/>
  <c r="F33" i="7"/>
  <c r="AD32" i="7"/>
  <c r="AC32" i="7"/>
  <c r="AZ32" i="7"/>
  <c r="AA32" i="7"/>
  <c r="AB32" i="7"/>
  <c r="F32" i="7"/>
  <c r="AC31" i="7"/>
  <c r="AS31" i="7" s="1"/>
  <c r="AA31" i="7"/>
  <c r="AB31" i="7" s="1"/>
  <c r="F31" i="7"/>
  <c r="AC30" i="7"/>
  <c r="AB30" i="7"/>
  <c r="AA30" i="7"/>
  <c r="F30" i="7"/>
  <c r="AC29" i="7"/>
  <c r="AY29" i="7"/>
  <c r="AA29" i="7"/>
  <c r="AB29" i="7"/>
  <c r="F29" i="7"/>
  <c r="AC28" i="7"/>
  <c r="AA28" i="7"/>
  <c r="AB28" i="7" s="1"/>
  <c r="F28" i="7"/>
  <c r="AT27" i="7"/>
  <c r="AC27" i="7"/>
  <c r="AB27" i="7"/>
  <c r="AA27" i="7"/>
  <c r="F27" i="7"/>
  <c r="AC26" i="7"/>
  <c r="AY26" i="7"/>
  <c r="AA26" i="7"/>
  <c r="AB26" i="7"/>
  <c r="F26" i="7"/>
  <c r="AX25" i="7"/>
  <c r="AR25" i="7"/>
  <c r="AL25" i="7"/>
  <c r="AC25" i="7"/>
  <c r="AT25" i="7" s="1"/>
  <c r="AY25" i="7"/>
  <c r="AA25" i="7"/>
  <c r="AB25" i="7" s="1"/>
  <c r="F25" i="7"/>
  <c r="AD24" i="7"/>
  <c r="AC24" i="7"/>
  <c r="AB24" i="7"/>
  <c r="AA24" i="7"/>
  <c r="F24" i="7"/>
  <c r="AX23" i="7"/>
  <c r="AW23" i="7"/>
  <c r="AS23" i="7"/>
  <c r="BB23" i="7"/>
  <c r="AR23" i="7"/>
  <c r="BE23" i="7"/>
  <c r="AQ23" i="7"/>
  <c r="AP23" i="7"/>
  <c r="AN23" i="7"/>
  <c r="AM23" i="7"/>
  <c r="AL23" i="7"/>
  <c r="AK23" i="7"/>
  <c r="AJ23" i="7"/>
  <c r="BD23" i="7"/>
  <c r="BF23" i="7" s="1"/>
  <c r="AH23" i="7"/>
  <c r="AF23" i="7"/>
  <c r="AB23" i="7"/>
  <c r="AA23" i="7"/>
  <c r="F23" i="7"/>
  <c r="AC22" i="7"/>
  <c r="AB22" i="7"/>
  <c r="AA22" i="7"/>
  <c r="F22" i="7"/>
  <c r="AW21" i="7"/>
  <c r="AC21" i="7"/>
  <c r="AB21" i="7"/>
  <c r="AA21" i="7"/>
  <c r="F21" i="7"/>
  <c r="AD20" i="7"/>
  <c r="AZ20" i="7"/>
  <c r="AC20" i="7"/>
  <c r="AY20" i="7"/>
  <c r="AA20" i="7"/>
  <c r="AB20" i="7" s="1"/>
  <c r="F20" i="7"/>
  <c r="AD19" i="7"/>
  <c r="AB19" i="7"/>
  <c r="AA19" i="7"/>
  <c r="F19" i="7"/>
  <c r="AD18" i="7"/>
  <c r="AZ18" i="7"/>
  <c r="AC18" i="7"/>
  <c r="AY18" i="7"/>
  <c r="AA18" i="7"/>
  <c r="AB18" i="7" s="1"/>
  <c r="F18" i="7"/>
  <c r="AD17" i="7"/>
  <c r="AC17" i="7"/>
  <c r="AB17" i="7"/>
  <c r="AA17" i="7"/>
  <c r="F17" i="7"/>
  <c r="AD16" i="7"/>
  <c r="AZ16" i="7"/>
  <c r="AC16" i="7"/>
  <c r="AY16" i="7"/>
  <c r="AA16" i="7"/>
  <c r="AB16" i="7" s="1"/>
  <c r="F16" i="7"/>
  <c r="AO15" i="7"/>
  <c r="AC15" i="7"/>
  <c r="AB15" i="7"/>
  <c r="AA15" i="7"/>
  <c r="F15" i="7"/>
  <c r="AC14" i="7"/>
  <c r="AM14" i="7"/>
  <c r="AA14" i="7"/>
  <c r="AB14" i="7"/>
  <c r="F14" i="7"/>
  <c r="AD13" i="7"/>
  <c r="AC13" i="7"/>
  <c r="AA13" i="7"/>
  <c r="AB13" i="7" s="1"/>
  <c r="F13" i="7"/>
  <c r="AX12" i="7"/>
  <c r="AW12" i="7"/>
  <c r="AT12" i="7"/>
  <c r="AS12" i="7"/>
  <c r="AR12" i="7"/>
  <c r="AQ12" i="7"/>
  <c r="AP12" i="7"/>
  <c r="AO12" i="7"/>
  <c r="AN12" i="7"/>
  <c r="AM12" i="7"/>
  <c r="AL12" i="7"/>
  <c r="AK12" i="7"/>
  <c r="AE12" i="7" s="1"/>
  <c r="BC12" i="7"/>
  <c r="AJ12" i="7"/>
  <c r="BA12" i="7" s="1"/>
  <c r="BD12" i="7"/>
  <c r="BF12" i="7" s="1"/>
  <c r="AH12" i="7"/>
  <c r="AA12" i="7"/>
  <c r="F12" i="7"/>
  <c r="AC11" i="7"/>
  <c r="AT11" i="7"/>
  <c r="BB11" i="7" s="1"/>
  <c r="AA11" i="7"/>
  <c r="AB11" i="7"/>
  <c r="F11" i="7"/>
  <c r="BE10" i="7"/>
  <c r="AX10" i="7"/>
  <c r="BB10" i="7"/>
  <c r="AW10" i="7"/>
  <c r="AQ10" i="7"/>
  <c r="AP10" i="7"/>
  <c r="AN10" i="7"/>
  <c r="AM10" i="7"/>
  <c r="AL10" i="7"/>
  <c r="AK10" i="7"/>
  <c r="BA10" i="7"/>
  <c r="BC10" i="7" s="1"/>
  <c r="AJ10" i="7"/>
  <c r="AH10" i="7"/>
  <c r="AF10" i="7"/>
  <c r="AE10" i="7"/>
  <c r="AG10" i="7" s="1"/>
  <c r="AA10" i="7"/>
  <c r="F10" i="7"/>
  <c r="AU9" i="7"/>
  <c r="AC9" i="7"/>
  <c r="AB9" i="7"/>
  <c r="AA9" i="7"/>
  <c r="F9" i="7"/>
  <c r="AX8" i="7"/>
  <c r="BE8" i="7"/>
  <c r="AW8" i="7"/>
  <c r="AQ8" i="7"/>
  <c r="AP8" i="7"/>
  <c r="AN8" i="7"/>
  <c r="AM8" i="7"/>
  <c r="AL8" i="7"/>
  <c r="AK8" i="7"/>
  <c r="AJ8" i="7"/>
  <c r="BA8" i="7" s="1"/>
  <c r="BC8" i="7"/>
  <c r="AH8" i="7"/>
  <c r="AI8" i="7"/>
  <c r="AF8" i="7"/>
  <c r="AB8" i="7"/>
  <c r="AA8" i="7"/>
  <c r="F8" i="7"/>
  <c r="BB8" i="7"/>
  <c r="BD8" i="7"/>
  <c r="BF8" i="7" s="1"/>
  <c r="BG8" i="7" s="1"/>
  <c r="BH8" i="7"/>
  <c r="AH11" i="7"/>
  <c r="AM11" i="7"/>
  <c r="AQ11" i="7"/>
  <c r="AX11" i="7"/>
  <c r="AG12" i="7"/>
  <c r="AW13" i="7"/>
  <c r="AH14" i="7"/>
  <c r="AJ14" i="7"/>
  <c r="BA14" i="7" s="1"/>
  <c r="AW14" i="7"/>
  <c r="AY14" i="7"/>
  <c r="AF14" i="7" s="1"/>
  <c r="AE8" i="7"/>
  <c r="AG8" i="7" s="1"/>
  <c r="AH9" i="7"/>
  <c r="AI9" i="7" s="1"/>
  <c r="AS9" i="7"/>
  <c r="AL11" i="7"/>
  <c r="AO11" i="7"/>
  <c r="AR11" i="7"/>
  <c r="AW11" i="7"/>
  <c r="AY11" i="7"/>
  <c r="AS13" i="7"/>
  <c r="AL14" i="7"/>
  <c r="AQ14" i="7"/>
  <c r="AX14" i="7"/>
  <c r="AJ15" i="7"/>
  <c r="AQ15" i="7"/>
  <c r="AO16" i="7"/>
  <c r="AS16" i="7"/>
  <c r="AW16" i="7"/>
  <c r="AW17" i="7"/>
  <c r="AO18" i="7"/>
  <c r="AR18" i="7"/>
  <c r="BB18" i="7" s="1"/>
  <c r="AW18" i="7"/>
  <c r="AH19" i="7"/>
  <c r="AO20" i="7"/>
  <c r="AS20" i="7"/>
  <c r="AW20" i="7"/>
  <c r="AM21" i="7"/>
  <c r="AQ22" i="7"/>
  <c r="AI23" i="7"/>
  <c r="AS24" i="7"/>
  <c r="AH25" i="7"/>
  <c r="AJ25" i="7"/>
  <c r="AM25" i="7"/>
  <c r="AQ25" i="7"/>
  <c r="AS25" i="7"/>
  <c r="AW25" i="7"/>
  <c r="AL26" i="7"/>
  <c r="AO26" i="7"/>
  <c r="AS26" i="7"/>
  <c r="AX26" i="7"/>
  <c r="AH27" i="7"/>
  <c r="AS27" i="7"/>
  <c r="AL28" i="7"/>
  <c r="AW28" i="7"/>
  <c r="AL29" i="7"/>
  <c r="AO29" i="7"/>
  <c r="AR29" i="7"/>
  <c r="AT29" i="7"/>
  <c r="AX29" i="7"/>
  <c r="AQ30" i="7"/>
  <c r="AL31" i="7"/>
  <c r="AO32" i="7"/>
  <c r="AE32" i="7" s="1"/>
  <c r="AT32" i="7"/>
  <c r="AX34" i="7"/>
  <c r="AL34" i="7"/>
  <c r="AW34" i="7"/>
  <c r="AJ38" i="7"/>
  <c r="AQ38" i="7"/>
  <c r="AY39" i="7"/>
  <c r="AW39" i="7"/>
  <c r="AS39" i="7"/>
  <c r="AX39" i="7"/>
  <c r="AT39" i="7"/>
  <c r="AR39" i="7"/>
  <c r="AO39" i="7"/>
  <c r="BD39" i="7" s="1"/>
  <c r="AL39" i="7"/>
  <c r="AH39" i="7"/>
  <c r="AM39" i="7"/>
  <c r="AJ11" i="7"/>
  <c r="AH16" i="7"/>
  <c r="AI16" i="7" s="1"/>
  <c r="AL16" i="7"/>
  <c r="AQ16" i="7"/>
  <c r="BD16" i="7" s="1"/>
  <c r="AT16" i="7"/>
  <c r="AX16" i="7"/>
  <c r="AS17" i="7"/>
  <c r="AH18" i="7"/>
  <c r="AL18" i="7"/>
  <c r="AQ18" i="7"/>
  <c r="AS18" i="7"/>
  <c r="AX18" i="7"/>
  <c r="AH20" i="7"/>
  <c r="AL20" i="7"/>
  <c r="AQ20" i="7"/>
  <c r="AT20" i="7"/>
  <c r="AX20" i="7"/>
  <c r="AH24" i="7"/>
  <c r="AQ24" i="7"/>
  <c r="AX24" i="7"/>
  <c r="AH26" i="7"/>
  <c r="AJ26" i="7"/>
  <c r="AM26" i="7"/>
  <c r="AQ26" i="7"/>
  <c r="AW26" i="7"/>
  <c r="AH28" i="7"/>
  <c r="AJ28" i="7"/>
  <c r="AM28" i="7"/>
  <c r="AT28" i="7"/>
  <c r="AH29" i="7"/>
  <c r="AJ29" i="7"/>
  <c r="AM29" i="7"/>
  <c r="AQ29" i="7"/>
  <c r="AS29" i="7"/>
  <c r="AW29" i="7"/>
  <c r="AY31" i="7"/>
  <c r="AW31" i="7"/>
  <c r="AQ31" i="7"/>
  <c r="AM31" i="7"/>
  <c r="AH31" i="7"/>
  <c r="AJ31" i="7"/>
  <c r="AO31" i="7"/>
  <c r="AX31" i="7"/>
  <c r="BB31" i="7"/>
  <c r="AY32" i="7"/>
  <c r="AW32" i="7"/>
  <c r="AS32" i="7"/>
  <c r="AQ32" i="7"/>
  <c r="AL32" i="7"/>
  <c r="AH32" i="7"/>
  <c r="AR32" i="7"/>
  <c r="AX32" i="7"/>
  <c r="AW35" i="7"/>
  <c r="AQ35" i="7"/>
  <c r="AL35" i="7"/>
  <c r="AR35" i="7"/>
  <c r="AY38" i="7"/>
  <c r="AW38" i="7"/>
  <c r="AR38" i="7"/>
  <c r="AO38" i="7"/>
  <c r="AE38" i="7" s="1"/>
  <c r="AL38" i="7"/>
  <c r="AH38" i="7"/>
  <c r="AI38" i="7" s="1"/>
  <c r="AM38" i="7"/>
  <c r="AS38" i="7"/>
  <c r="BF39" i="7"/>
  <c r="BG39" i="7" s="1"/>
  <c r="BA39" i="7"/>
  <c r="BC39" i="7" s="1"/>
  <c r="AE39" i="7"/>
  <c r="AH33" i="7"/>
  <c r="AJ33" i="7"/>
  <c r="BD33" i="7" s="1"/>
  <c r="AM33" i="7"/>
  <c r="AQ33" i="7"/>
  <c r="AS33" i="7"/>
  <c r="BE33" i="7"/>
  <c r="AW33" i="7"/>
  <c r="AH36" i="7"/>
  <c r="AJ36" i="7"/>
  <c r="AM36" i="7"/>
  <c r="AQ36" i="7"/>
  <c r="AT36" i="7"/>
  <c r="AH37" i="7"/>
  <c r="AI37" i="7" s="1"/>
  <c r="AJ37" i="7"/>
  <c r="AM37" i="7"/>
  <c r="AQ37" i="7"/>
  <c r="AS37" i="7"/>
  <c r="BE37" i="7" s="1"/>
  <c r="AW37" i="7"/>
  <c r="AE40" i="7"/>
  <c r="AG40" i="7"/>
  <c r="BD40" i="7"/>
  <c r="BF40" i="7"/>
  <c r="BG40" i="7" s="1"/>
  <c r="BI40" i="7" s="1"/>
  <c r="AL41" i="7"/>
  <c r="AO41" i="7"/>
  <c r="AR41" i="7"/>
  <c r="AT41" i="7"/>
  <c r="AX41" i="7"/>
  <c r="AG42" i="7"/>
  <c r="AI42" i="7"/>
  <c r="BD42" i="7"/>
  <c r="BF42" i="7"/>
  <c r="BG42" i="7" s="1"/>
  <c r="BI42" i="7" s="1"/>
  <c r="AL43" i="7"/>
  <c r="AO43" i="7"/>
  <c r="AR43" i="7"/>
  <c r="AW43" i="7"/>
  <c r="AY43" i="7"/>
  <c r="AL44" i="7"/>
  <c r="AW44" i="7"/>
  <c r="AH45" i="7"/>
  <c r="AJ45" i="7"/>
  <c r="AM45" i="7"/>
  <c r="AQ45" i="7"/>
  <c r="AS45" i="7"/>
  <c r="AW45" i="7"/>
  <c r="AT46" i="7"/>
  <c r="AH47" i="7"/>
  <c r="AJ47" i="7"/>
  <c r="AM47" i="7"/>
  <c r="AQ47" i="7"/>
  <c r="AS47" i="7"/>
  <c r="AW47" i="7"/>
  <c r="AH48" i="7"/>
  <c r="AL48" i="7"/>
  <c r="AQ48" i="7"/>
  <c r="AS48" i="7"/>
  <c r="AW48" i="7"/>
  <c r="AY48" i="7"/>
  <c r="AH49" i="7"/>
  <c r="AI49" i="7" s="1"/>
  <c r="AJ49" i="7"/>
  <c r="AM49" i="7"/>
  <c r="AR49" i="7"/>
  <c r="AI50" i="7"/>
  <c r="BE50" i="7"/>
  <c r="AO51" i="7"/>
  <c r="AR51" i="7"/>
  <c r="BE51" i="7" s="1"/>
  <c r="AZ51" i="7"/>
  <c r="AL52" i="7"/>
  <c r="AX52" i="7"/>
  <c r="AH53" i="7"/>
  <c r="AK53" i="7"/>
  <c r="AN53" i="7"/>
  <c r="AQ53" i="7"/>
  <c r="AW53" i="7"/>
  <c r="AL54" i="7"/>
  <c r="BA54" i="7" s="1"/>
  <c r="AQ54" i="7"/>
  <c r="AX54" i="7"/>
  <c r="AF54" i="7" s="1"/>
  <c r="AX55" i="7"/>
  <c r="AT55" i="7"/>
  <c r="AR55" i="7"/>
  <c r="AP55" i="7"/>
  <c r="AH55" i="7"/>
  <c r="AK55" i="7"/>
  <c r="AN55" i="7"/>
  <c r="AQ55" i="7"/>
  <c r="AW55" i="7"/>
  <c r="AZ57" i="7"/>
  <c r="BB57" i="7" s="1"/>
  <c r="AQ57" i="7"/>
  <c r="AX58" i="7"/>
  <c r="BE58" i="7" s="1"/>
  <c r="AT58" i="7"/>
  <c r="AQ58" i="7"/>
  <c r="AL58" i="7"/>
  <c r="AH58" i="7"/>
  <c r="AO58" i="7"/>
  <c r="AW58" i="7"/>
  <c r="AK60" i="7"/>
  <c r="AQ60" i="7"/>
  <c r="AZ63" i="7"/>
  <c r="AO63" i="7"/>
  <c r="AI64" i="7"/>
  <c r="BG72" i="7"/>
  <c r="BB74" i="7"/>
  <c r="BE79" i="7"/>
  <c r="AH41" i="7"/>
  <c r="AJ41" i="7"/>
  <c r="AM41" i="7"/>
  <c r="AQ41" i="7"/>
  <c r="AS41" i="7"/>
  <c r="AW41" i="7"/>
  <c r="AH43" i="7"/>
  <c r="AI43" i="7" s="1"/>
  <c r="AJ43" i="7"/>
  <c r="AM43" i="7"/>
  <c r="AQ43" i="7"/>
  <c r="AS43" i="7"/>
  <c r="AS44" i="7"/>
  <c r="AM46" i="7"/>
  <c r="AO48" i="7"/>
  <c r="AE48" i="7" s="1"/>
  <c r="AR48" i="7"/>
  <c r="AT48" i="7"/>
  <c r="BE48" i="7" s="1"/>
  <c r="AX48" i="7"/>
  <c r="AH51" i="7"/>
  <c r="AI51" i="7" s="1"/>
  <c r="AL51" i="7"/>
  <c r="AQ51" i="7"/>
  <c r="BD51" i="7" s="1"/>
  <c r="AW51" i="7"/>
  <c r="AH52" i="7"/>
  <c r="AI52" i="7" s="1"/>
  <c r="AS52" i="7"/>
  <c r="AH54" i="7"/>
  <c r="AI54" i="7" s="1"/>
  <c r="AJ54" i="7"/>
  <c r="AM54" i="7"/>
  <c r="AW54" i="7"/>
  <c r="AX57" i="7"/>
  <c r="AS57" i="7"/>
  <c r="AL57" i="7"/>
  <c r="AH57" i="7"/>
  <c r="AW57" i="7"/>
  <c r="BD58" i="7"/>
  <c r="BF58" i="7" s="1"/>
  <c r="BG58" i="7"/>
  <c r="AX60" i="7"/>
  <c r="AT60" i="7"/>
  <c r="AR60" i="7"/>
  <c r="AP60" i="7"/>
  <c r="AL60" i="7"/>
  <c r="AH60" i="7"/>
  <c r="AI60" i="7" s="1"/>
  <c r="AN60" i="7"/>
  <c r="AS60" i="7"/>
  <c r="BE60" i="7" s="1"/>
  <c r="AZ60" i="7"/>
  <c r="AX63" i="7"/>
  <c r="BB63" i="7" s="1"/>
  <c r="AS63" i="7"/>
  <c r="AQ63" i="7"/>
  <c r="AE63" i="7" s="1"/>
  <c r="AL63" i="7"/>
  <c r="AH63" i="7"/>
  <c r="AI63" i="7" s="1"/>
  <c r="AR63" i="7"/>
  <c r="AY63" i="7"/>
  <c r="BE87" i="7"/>
  <c r="BB87" i="7"/>
  <c r="AH65" i="7"/>
  <c r="AM65" i="7"/>
  <c r="AS65" i="7"/>
  <c r="AY65" i="7"/>
  <c r="AI67" i="7"/>
  <c r="BE67" i="7"/>
  <c r="AH68" i="7"/>
  <c r="AJ68" i="7"/>
  <c r="AM68" i="7"/>
  <c r="AQ68" i="7"/>
  <c r="AS68" i="7"/>
  <c r="AW68" i="7"/>
  <c r="AY68" i="7"/>
  <c r="AH71" i="7"/>
  <c r="AJ71" i="7"/>
  <c r="AM71" i="7"/>
  <c r="AR71" i="7"/>
  <c r="BE71" i="7" s="1"/>
  <c r="AX71" i="7"/>
  <c r="AI72" i="7"/>
  <c r="BB72" i="7"/>
  <c r="AH75" i="7"/>
  <c r="AK75" i="7"/>
  <c r="AN75" i="7"/>
  <c r="AP75" i="7"/>
  <c r="AR75" i="7"/>
  <c r="AT75" i="7"/>
  <c r="AX75" i="7"/>
  <c r="AK76" i="7"/>
  <c r="BD76" i="7" s="1"/>
  <c r="AP76" i="7"/>
  <c r="AT76" i="7"/>
  <c r="AH77" i="7"/>
  <c r="AJ77" i="7"/>
  <c r="AM77" i="7"/>
  <c r="AQ77" i="7"/>
  <c r="AW77" i="7"/>
  <c r="AL78" i="7"/>
  <c r="AX78" i="7"/>
  <c r="AH79" i="7"/>
  <c r="AJ79" i="7"/>
  <c r="AQ79" i="7"/>
  <c r="AW79" i="7"/>
  <c r="AL80" i="7"/>
  <c r="AY80" i="7"/>
  <c r="AH81" i="7"/>
  <c r="AJ81" i="7"/>
  <c r="AM81" i="7"/>
  <c r="AQ81" i="7"/>
  <c r="AS81" i="7"/>
  <c r="AU81" i="7"/>
  <c r="AE82" i="7"/>
  <c r="AG82" i="7"/>
  <c r="AI82" i="7"/>
  <c r="BA82" i="7"/>
  <c r="BC82" i="7"/>
  <c r="BE82" i="7"/>
  <c r="AH83" i="7"/>
  <c r="AI83" i="7" s="1"/>
  <c r="AT83" i="7"/>
  <c r="AE84" i="7"/>
  <c r="AG84" i="7" s="1"/>
  <c r="AI84" i="7"/>
  <c r="BI84" i="7" s="1"/>
  <c r="BA84" i="7"/>
  <c r="BC84" i="7" s="1"/>
  <c r="BE84" i="7"/>
  <c r="AF85" i="7"/>
  <c r="AH85" i="7"/>
  <c r="AJ85" i="7"/>
  <c r="AO85" i="7"/>
  <c r="AW85" i="7"/>
  <c r="BB85" i="7"/>
  <c r="AB86" i="7"/>
  <c r="AF86" i="7"/>
  <c r="AQ87" i="7"/>
  <c r="AZ87" i="7"/>
  <c r="AF87" i="7"/>
  <c r="AF88" i="7"/>
  <c r="BE88" i="7"/>
  <c r="AH89" i="7"/>
  <c r="AJ89" i="7"/>
  <c r="AM89" i="7"/>
  <c r="AQ89" i="7"/>
  <c r="AS89" i="7"/>
  <c r="AW89" i="7"/>
  <c r="AH56" i="7"/>
  <c r="AI56" i="7" s="1"/>
  <c r="AS56" i="7"/>
  <c r="AH59" i="7"/>
  <c r="AJ59" i="7"/>
  <c r="AM59" i="7"/>
  <c r="AQ59" i="7"/>
  <c r="AS59" i="7"/>
  <c r="BB59" i="7"/>
  <c r="AW59" i="7"/>
  <c r="AH61" i="7"/>
  <c r="AK61" i="7"/>
  <c r="AN61" i="7"/>
  <c r="AP61" i="7"/>
  <c r="AR61" i="7"/>
  <c r="AH62" i="7"/>
  <c r="AJ62" i="7"/>
  <c r="BD62" i="7" s="1"/>
  <c r="AM62" i="7"/>
  <c r="AQ62" i="7"/>
  <c r="AS62" i="7"/>
  <c r="AW62" i="7"/>
  <c r="AF64" i="7"/>
  <c r="AO65" i="7"/>
  <c r="AT65" i="7"/>
  <c r="AH66" i="7"/>
  <c r="AJ66" i="7"/>
  <c r="AM66" i="7"/>
  <c r="AQ66" i="7"/>
  <c r="AS66" i="7"/>
  <c r="BB66" i="7"/>
  <c r="AW66" i="7"/>
  <c r="AL68" i="7"/>
  <c r="AE68" i="7" s="1"/>
  <c r="AO68" i="7"/>
  <c r="AR68" i="7"/>
  <c r="AT68" i="7"/>
  <c r="AH69" i="7"/>
  <c r="AJ69" i="7"/>
  <c r="AO69" i="7"/>
  <c r="AR69" i="7"/>
  <c r="AH70" i="7"/>
  <c r="AJ70" i="7"/>
  <c r="AM70" i="7"/>
  <c r="AQ70" i="7"/>
  <c r="AS70" i="7"/>
  <c r="AW70" i="7"/>
  <c r="AL71" i="7"/>
  <c r="AQ71" i="7"/>
  <c r="AW71" i="7"/>
  <c r="AH73" i="7"/>
  <c r="AJ73" i="7"/>
  <c r="AE73" i="7" s="1"/>
  <c r="AM73" i="7"/>
  <c r="AR73" i="7"/>
  <c r="AT73" i="7"/>
  <c r="AF74" i="7"/>
  <c r="AH74" i="7"/>
  <c r="AJ74" i="7"/>
  <c r="AM74" i="7"/>
  <c r="AW74" i="7"/>
  <c r="AL75" i="7"/>
  <c r="AO75" i="7"/>
  <c r="AQ75" i="7"/>
  <c r="AS75" i="7"/>
  <c r="AW75" i="7"/>
  <c r="AM78" i="7"/>
  <c r="AO80" i="7"/>
  <c r="AH87" i="7"/>
  <c r="AI87" i="7" s="1"/>
  <c r="AL87" i="7"/>
  <c r="AW87" i="7"/>
  <c r="AH90" i="7"/>
  <c r="AK90" i="7"/>
  <c r="AN90" i="7"/>
  <c r="AP90" i="7"/>
  <c r="AR90" i="7"/>
  <c r="AT90" i="7"/>
  <c r="AW90" i="7"/>
  <c r="AZ90" i="7"/>
  <c r="AH91" i="7"/>
  <c r="AI91" i="7" s="1"/>
  <c r="AL91" i="7"/>
  <c r="AQ91" i="7"/>
  <c r="AW91" i="7"/>
  <c r="AY91" i="7"/>
  <c r="AJ92" i="7"/>
  <c r="AY92" i="7"/>
  <c r="AL93" i="7"/>
  <c r="AO93" i="7"/>
  <c r="AR93" i="7"/>
  <c r="AT93" i="7"/>
  <c r="AF93" i="7" s="1"/>
  <c r="AX93" i="7"/>
  <c r="AH94" i="7"/>
  <c r="AI94" i="7" s="1"/>
  <c r="AK94" i="7"/>
  <c r="AN94" i="7"/>
  <c r="AP94" i="7"/>
  <c r="AT94" i="7"/>
  <c r="BE94" i="7" s="1"/>
  <c r="AX94" i="7"/>
  <c r="AO95" i="7"/>
  <c r="AZ95" i="7"/>
  <c r="AL96" i="7"/>
  <c r="AO96" i="7"/>
  <c r="AR96" i="7"/>
  <c r="AT96" i="7"/>
  <c r="BB96" i="7" s="1"/>
  <c r="AX96" i="7"/>
  <c r="AH97" i="7"/>
  <c r="AI97" i="7" s="1"/>
  <c r="AW97" i="7"/>
  <c r="AL98" i="7"/>
  <c r="AO98" i="7"/>
  <c r="AQ98" i="7"/>
  <c r="AS98" i="7"/>
  <c r="AW98" i="7"/>
  <c r="AZ98" i="7"/>
  <c r="AL99" i="7"/>
  <c r="AO99" i="7"/>
  <c r="AR99" i="7"/>
  <c r="AW99" i="7"/>
  <c r="AY99" i="7"/>
  <c r="AL100" i="7"/>
  <c r="AO100" i="7"/>
  <c r="AS100" i="7"/>
  <c r="AW100" i="7"/>
  <c r="AY100" i="7"/>
  <c r="AL101" i="7"/>
  <c r="AO101" i="7"/>
  <c r="AR101" i="7"/>
  <c r="AT101" i="7"/>
  <c r="AX101" i="7"/>
  <c r="AH102" i="7"/>
  <c r="AJ102" i="7"/>
  <c r="AM102" i="7"/>
  <c r="AQ102" i="7"/>
  <c r="AW102" i="7"/>
  <c r="AY102" i="7"/>
  <c r="AL103" i="7"/>
  <c r="AQ103" i="7"/>
  <c r="BH110" i="7"/>
  <c r="BE111" i="7"/>
  <c r="AL90" i="7"/>
  <c r="AO90" i="7"/>
  <c r="AQ90" i="7"/>
  <c r="AS90" i="7"/>
  <c r="BE90" i="7" s="1"/>
  <c r="AU90" i="7"/>
  <c r="AO91" i="7"/>
  <c r="AE91" i="7" s="1"/>
  <c r="AS91" i="7"/>
  <c r="AO92" i="7"/>
  <c r="AH93" i="7"/>
  <c r="AJ93" i="7"/>
  <c r="AM93" i="7"/>
  <c r="AQ93" i="7"/>
  <c r="AS93" i="7"/>
  <c r="AW93" i="7"/>
  <c r="AQ94" i="7"/>
  <c r="AW94" i="7"/>
  <c r="AQ95" i="7"/>
  <c r="AH96" i="7"/>
  <c r="AJ96" i="7"/>
  <c r="AM96" i="7"/>
  <c r="AQ96" i="7"/>
  <c r="AS96" i="7"/>
  <c r="AW96" i="7"/>
  <c r="AH98" i="7"/>
  <c r="AK98" i="7"/>
  <c r="AN98" i="7"/>
  <c r="AP98" i="7"/>
  <c r="AR98" i="7"/>
  <c r="AT98" i="7"/>
  <c r="AF98" i="7" s="1"/>
  <c r="AH99" i="7"/>
  <c r="AJ99" i="7"/>
  <c r="AM99" i="7"/>
  <c r="AQ99" i="7"/>
  <c r="AT99" i="7"/>
  <c r="AH100" i="7"/>
  <c r="AJ100" i="7"/>
  <c r="AM100" i="7"/>
  <c r="AQ100" i="7"/>
  <c r="AT100" i="7"/>
  <c r="AH101" i="7"/>
  <c r="AJ101" i="7"/>
  <c r="AM101" i="7"/>
  <c r="AQ101" i="7"/>
  <c r="AS101" i="7"/>
  <c r="AW101" i="7"/>
  <c r="AL102" i="7"/>
  <c r="AO102" i="7"/>
  <c r="AR102" i="7"/>
  <c r="AX103" i="7"/>
  <c r="AT103" i="7"/>
  <c r="AR103" i="7"/>
  <c r="AP103" i="7"/>
  <c r="AN103" i="7"/>
  <c r="AE103" i="7" s="1"/>
  <c r="AK103" i="7"/>
  <c r="AH103" i="7"/>
  <c r="AO103" i="7"/>
  <c r="AS103" i="7"/>
  <c r="AZ103" i="7"/>
  <c r="BE104" i="7"/>
  <c r="BB104" i="7"/>
  <c r="AF104" i="7"/>
  <c r="BE113" i="7"/>
  <c r="AH104" i="7"/>
  <c r="AI104" i="7" s="1"/>
  <c r="AJ104" i="7"/>
  <c r="AM104" i="7"/>
  <c r="AQ104" i="7"/>
  <c r="AW104" i="7"/>
  <c r="AB105" i="7"/>
  <c r="AF105" i="7"/>
  <c r="BE105" i="7"/>
  <c r="AI106" i="7"/>
  <c r="BE106" i="7"/>
  <c r="AH107" i="7"/>
  <c r="AJ107" i="7"/>
  <c r="AM107" i="7"/>
  <c r="AQ107" i="7"/>
  <c r="AS107" i="7"/>
  <c r="AU107" i="7"/>
  <c r="AW107" i="7"/>
  <c r="AH108" i="7"/>
  <c r="AL108" i="7"/>
  <c r="AQ108" i="7"/>
  <c r="AW108" i="7"/>
  <c r="AY108" i="7"/>
  <c r="AW109" i="7"/>
  <c r="AE110" i="7"/>
  <c r="AG110" i="7"/>
  <c r="AI110" i="7"/>
  <c r="BI110" i="7"/>
  <c r="BA110" i="7"/>
  <c r="BC110" i="7"/>
  <c r="AH111" i="7"/>
  <c r="AJ111" i="7"/>
  <c r="AM111" i="7"/>
  <c r="AQ111" i="7"/>
  <c r="AS111" i="7"/>
  <c r="AW111" i="7"/>
  <c r="AH112" i="7"/>
  <c r="AK112" i="7"/>
  <c r="AN112" i="7"/>
  <c r="AP112" i="7"/>
  <c r="AR112" i="7"/>
  <c r="AT112" i="7"/>
  <c r="AX112" i="7"/>
  <c r="AL113" i="7"/>
  <c r="AW113" i="7"/>
  <c r="AY113" i="7"/>
  <c r="BB113" i="7" s="1"/>
  <c r="AF113" i="7"/>
  <c r="AL114" i="7"/>
  <c r="AO114" i="7"/>
  <c r="AR114" i="7"/>
  <c r="AT114" i="7"/>
  <c r="AF114" i="7" s="1"/>
  <c r="AX114" i="7"/>
  <c r="AH115" i="7"/>
  <c r="AJ115" i="7"/>
  <c r="AM115" i="7"/>
  <c r="AR115" i="7"/>
  <c r="AW115" i="7"/>
  <c r="AL116" i="7"/>
  <c r="AO116" i="7"/>
  <c r="AR116" i="7"/>
  <c r="AT116" i="7"/>
  <c r="BB116" i="7" s="1"/>
  <c r="AX116" i="7"/>
  <c r="AY117" i="7"/>
  <c r="AW117" i="7"/>
  <c r="AR117" i="7"/>
  <c r="AH117" i="7"/>
  <c r="AJ117" i="7"/>
  <c r="BD117" i="7" s="1"/>
  <c r="AM117" i="7"/>
  <c r="AQ117" i="7"/>
  <c r="AX117" i="7"/>
  <c r="AY118" i="7"/>
  <c r="AW118" i="7"/>
  <c r="AR118" i="7"/>
  <c r="AO118" i="7"/>
  <c r="AL118" i="7"/>
  <c r="AX118" i="7"/>
  <c r="AS118" i="7"/>
  <c r="AQ118" i="7"/>
  <c r="AH118" i="7"/>
  <c r="AI118" i="7" s="1"/>
  <c r="AM118" i="7"/>
  <c r="AE118" i="7"/>
  <c r="AO108" i="7"/>
  <c r="AR108" i="7"/>
  <c r="AX108" i="7"/>
  <c r="AH109" i="7"/>
  <c r="AX109" i="7"/>
  <c r="AL112" i="7"/>
  <c r="AO112" i="7"/>
  <c r="AQ112" i="7"/>
  <c r="AS112" i="7"/>
  <c r="AW112" i="7"/>
  <c r="AH113" i="7"/>
  <c r="AJ113" i="7"/>
  <c r="AQ113" i="7"/>
  <c r="AH114" i="7"/>
  <c r="AJ114" i="7"/>
  <c r="AM114" i="7"/>
  <c r="AQ114" i="7"/>
  <c r="AS114" i="7"/>
  <c r="AW114" i="7"/>
  <c r="AH116" i="7"/>
  <c r="AJ116" i="7"/>
  <c r="AM116" i="7"/>
  <c r="AQ116" i="7"/>
  <c r="AS116" i="7"/>
  <c r="AW116" i="7"/>
  <c r="BD118" i="7"/>
  <c r="BF118" i="7"/>
  <c r="BG118" i="7" s="1"/>
  <c r="BA118" i="7"/>
  <c r="BC118" i="7" s="1"/>
  <c r="AH119" i="7"/>
  <c r="AI119" i="7" s="1"/>
  <c r="AJ119" i="7"/>
  <c r="AM119" i="7"/>
  <c r="AR119" i="7"/>
  <c r="AW119" i="7"/>
  <c r="AY119" i="7"/>
  <c r="BB120" i="7"/>
  <c r="BD120" i="7"/>
  <c r="BF120" i="7"/>
  <c r="BG120" i="7" s="1"/>
  <c r="AS121" i="7"/>
  <c r="AU121" i="7"/>
  <c r="AX121" i="7"/>
  <c r="AO122" i="7"/>
  <c r="AR122" i="7"/>
  <c r="AT122" i="7"/>
  <c r="AX122" i="7"/>
  <c r="AH123" i="7"/>
  <c r="AI123" i="7" s="1"/>
  <c r="AL123" i="7"/>
  <c r="AQ123" i="7"/>
  <c r="AT123" i="7"/>
  <c r="AX123" i="7"/>
  <c r="BH128" i="7"/>
  <c r="AL119" i="7"/>
  <c r="AQ119" i="7"/>
  <c r="AS119" i="7"/>
  <c r="AE120" i="7"/>
  <c r="AG120" i="7" s="1"/>
  <c r="AH121" i="7"/>
  <c r="AJ121" i="7"/>
  <c r="AO121" i="7"/>
  <c r="AR121" i="7"/>
  <c r="AT121" i="7"/>
  <c r="AW121" i="7"/>
  <c r="AH122" i="7"/>
  <c r="AL122" i="7"/>
  <c r="AQ122" i="7"/>
  <c r="AS122" i="7"/>
  <c r="AW122" i="7"/>
  <c r="AO123" i="7"/>
  <c r="AR123" i="7"/>
  <c r="AW123" i="7"/>
  <c r="AX124" i="7"/>
  <c r="AQ124" i="7"/>
  <c r="AL124" i="7"/>
  <c r="AE124" i="7" s="1"/>
  <c r="AG124" i="7"/>
  <c r="AH124" i="7"/>
  <c r="AM124" i="7"/>
  <c r="AY124" i="7"/>
  <c r="BD124" i="7"/>
  <c r="BH131" i="7"/>
  <c r="AH125" i="7"/>
  <c r="AI125" i="7" s="1"/>
  <c r="AJ125" i="7"/>
  <c r="AM125" i="7"/>
  <c r="AQ125" i="7"/>
  <c r="AW125" i="7"/>
  <c r="AY125" i="7"/>
  <c r="AB126" i="7"/>
  <c r="BB126" i="7"/>
  <c r="BD126" i="7"/>
  <c r="BF126" i="7" s="1"/>
  <c r="BG126" i="7"/>
  <c r="BI126" i="7" s="1"/>
  <c r="AH127" i="7"/>
  <c r="AL127" i="7"/>
  <c r="AR127" i="7"/>
  <c r="AW127" i="7"/>
  <c r="AY127" i="7"/>
  <c r="AI128" i="7"/>
  <c r="BI128" i="7" s="1"/>
  <c r="BA128" i="7"/>
  <c r="BC128" i="7" s="1"/>
  <c r="BE128" i="7"/>
  <c r="AO129" i="7"/>
  <c r="AR129" i="7"/>
  <c r="AW129" i="7"/>
  <c r="AO130" i="7"/>
  <c r="BA130" i="7" s="1"/>
  <c r="AS130" i="7"/>
  <c r="AX130" i="7"/>
  <c r="BE130" i="7" s="1"/>
  <c r="AZ130" i="7"/>
  <c r="BA131" i="7"/>
  <c r="BC131" i="7" s="1"/>
  <c r="BE131" i="7"/>
  <c r="AH132" i="7"/>
  <c r="AJ132" i="7"/>
  <c r="AM132" i="7"/>
  <c r="AQ132" i="7"/>
  <c r="AS132" i="7"/>
  <c r="AX132" i="7"/>
  <c r="AQ127" i="7"/>
  <c r="AS127" i="7"/>
  <c r="AH129" i="7"/>
  <c r="AL129" i="7"/>
  <c r="AQ129" i="7"/>
  <c r="AS129" i="7"/>
  <c r="AX129" i="7"/>
  <c r="AH130" i="7"/>
  <c r="AL130" i="7"/>
  <c r="AQ130" i="7"/>
  <c r="AW130" i="7"/>
  <c r="AE131" i="7"/>
  <c r="AG131" i="7" s="1"/>
  <c r="AI131" i="7"/>
  <c r="BI131" i="7" s="1"/>
  <c r="AL132" i="7"/>
  <c r="AO132" i="7"/>
  <c r="AR132" i="7"/>
  <c r="AW132" i="7"/>
  <c r="AI127" i="7"/>
  <c r="BB123" i="7"/>
  <c r="AI121" i="7"/>
  <c r="BB119" i="7"/>
  <c r="AI116" i="7"/>
  <c r="AI114" i="7"/>
  <c r="BD130" i="7"/>
  <c r="AE130" i="7"/>
  <c r="AG130" i="7"/>
  <c r="AI129" i="7"/>
  <c r="AI132" i="7"/>
  <c r="AF129" i="7"/>
  <c r="BA127" i="7"/>
  <c r="BH126" i="7"/>
  <c r="AI124" i="7"/>
  <c r="BA122" i="7"/>
  <c r="AE122" i="7"/>
  <c r="AF121" i="7"/>
  <c r="AE121" i="7"/>
  <c r="AG121" i="7"/>
  <c r="BH120" i="7"/>
  <c r="AE116" i="7"/>
  <c r="AG116" i="7" s="1"/>
  <c r="AI113" i="7"/>
  <c r="AI109" i="7"/>
  <c r="BH118" i="7"/>
  <c r="BE118" i="7"/>
  <c r="BF117" i="7"/>
  <c r="BG117" i="7" s="1"/>
  <c r="AE117" i="7"/>
  <c r="AI115" i="7"/>
  <c r="BA112" i="7"/>
  <c r="BC112" i="7"/>
  <c r="BD112" i="7"/>
  <c r="BF112" i="7" s="1"/>
  <c r="BG112" i="7"/>
  <c r="BD108" i="7"/>
  <c r="BF108" i="7" s="1"/>
  <c r="BG108" i="7"/>
  <c r="BA103" i="7"/>
  <c r="BC103" i="7" s="1"/>
  <c r="BD103" i="7"/>
  <c r="BF103" i="7" s="1"/>
  <c r="BG103" i="7" s="1"/>
  <c r="AG103" i="7"/>
  <c r="BB102" i="7"/>
  <c r="AI101" i="7"/>
  <c r="BA100" i="7"/>
  <c r="BC100" i="7"/>
  <c r="BD100" i="7"/>
  <c r="BF100" i="7"/>
  <c r="AE100" i="7"/>
  <c r="AI99" i="7"/>
  <c r="BE98" i="7"/>
  <c r="BB98" i="7"/>
  <c r="AI98" i="7"/>
  <c r="BD96" i="7"/>
  <c r="BF96" i="7" s="1"/>
  <c r="BA96" i="7"/>
  <c r="BC96" i="7"/>
  <c r="BD93" i="7"/>
  <c r="BF93" i="7" s="1"/>
  <c r="BG93" i="7"/>
  <c r="BA93" i="7"/>
  <c r="BC93" i="7"/>
  <c r="BE91" i="7"/>
  <c r="BA102" i="7"/>
  <c r="BC102" i="7" s="1"/>
  <c r="AE102" i="7"/>
  <c r="BD102" i="7"/>
  <c r="BF102" i="7" s="1"/>
  <c r="BG102" i="7" s="1"/>
  <c r="AF101" i="7"/>
  <c r="BE99" i="7"/>
  <c r="BB99" i="7"/>
  <c r="AF94" i="7"/>
  <c r="AE92" i="7"/>
  <c r="AG92" i="7" s="1"/>
  <c r="AF90" i="7"/>
  <c r="BD74" i="7"/>
  <c r="BF74" i="7" s="1"/>
  <c r="BG74" i="7" s="1"/>
  <c r="AF73" i="7"/>
  <c r="AG73" i="7"/>
  <c r="AI70" i="7"/>
  <c r="BE69" i="7"/>
  <c r="AF69" i="7"/>
  <c r="BB69" i="7"/>
  <c r="BA69" i="7"/>
  <c r="BC69" i="7"/>
  <c r="BD69" i="7"/>
  <c r="BF69" i="7"/>
  <c r="BF62" i="7"/>
  <c r="BG62" i="7" s="1"/>
  <c r="BA62" i="7"/>
  <c r="BC62" i="7" s="1"/>
  <c r="AI61" i="7"/>
  <c r="AI59" i="7"/>
  <c r="AI85" i="7"/>
  <c r="AE81" i="7"/>
  <c r="AG81" i="7" s="1"/>
  <c r="BA79" i="7"/>
  <c r="BC79" i="7" s="1"/>
  <c r="AE79" i="7"/>
  <c r="AG79" i="7" s="1"/>
  <c r="BD79" i="7"/>
  <c r="BF79" i="7" s="1"/>
  <c r="BG79" i="7"/>
  <c r="BA77" i="7"/>
  <c r="BC77" i="7"/>
  <c r="BD77" i="7"/>
  <c r="BF77" i="7"/>
  <c r="BG77" i="7" s="1"/>
  <c r="BD75" i="7"/>
  <c r="BF75" i="7" s="1"/>
  <c r="AE75" i="7"/>
  <c r="AG75" i="7"/>
  <c r="BB71" i="7"/>
  <c r="AF71" i="7"/>
  <c r="AE71" i="7"/>
  <c r="AG71" i="7" s="1"/>
  <c r="BA71" i="7"/>
  <c r="BC71" i="7" s="1"/>
  <c r="BA68" i="7"/>
  <c r="BC68" i="7"/>
  <c r="BD68" i="7"/>
  <c r="BF68" i="7" s="1"/>
  <c r="BG68" i="7"/>
  <c r="BD57" i="7"/>
  <c r="BF57" i="7" s="1"/>
  <c r="BG57" i="7"/>
  <c r="AI41" i="7"/>
  <c r="AI55" i="7"/>
  <c r="BA53" i="7"/>
  <c r="BC53" i="7" s="1"/>
  <c r="BD53" i="7"/>
  <c r="BF53" i="7" s="1"/>
  <c r="AI48" i="7"/>
  <c r="BA47" i="7"/>
  <c r="BC47" i="7"/>
  <c r="BD47" i="7"/>
  <c r="BF47" i="7" s="1"/>
  <c r="BG47" i="7"/>
  <c r="AI45" i="7"/>
  <c r="BF33" i="7"/>
  <c r="BA33" i="7"/>
  <c r="BC33" i="7" s="1"/>
  <c r="AF37" i="7"/>
  <c r="AF36" i="7"/>
  <c r="BE32" i="7"/>
  <c r="AF32" i="7"/>
  <c r="AG32" i="7" s="1"/>
  <c r="BB32" i="7"/>
  <c r="BA32" i="7"/>
  <c r="AI31" i="7"/>
  <c r="AI29" i="7"/>
  <c r="AI28" i="7"/>
  <c r="BD26" i="7"/>
  <c r="BF26" i="7"/>
  <c r="BA26" i="7"/>
  <c r="BC26" i="7" s="1"/>
  <c r="AE26" i="7"/>
  <c r="AG26" i="7" s="1"/>
  <c r="AI24" i="7"/>
  <c r="BD20" i="7"/>
  <c r="BA20" i="7"/>
  <c r="AE20" i="7"/>
  <c r="AI18" i="7"/>
  <c r="BD11" i="7"/>
  <c r="BF11" i="7" s="1"/>
  <c r="BG11" i="7"/>
  <c r="BI11" i="7" s="1"/>
  <c r="AE11" i="7"/>
  <c r="BA11" i="7"/>
  <c r="BC11" i="7" s="1"/>
  <c r="BB39" i="7"/>
  <c r="BE39" i="7"/>
  <c r="AF39" i="7"/>
  <c r="AF33" i="7"/>
  <c r="AI27" i="7"/>
  <c r="AI25" i="7"/>
  <c r="AI19" i="7"/>
  <c r="AF18" i="7"/>
  <c r="BB16" i="7"/>
  <c r="AF16" i="7"/>
  <c r="BE16" i="7"/>
  <c r="BB14" i="7"/>
  <c r="BE14" i="7"/>
  <c r="AI14" i="7"/>
  <c r="BH11" i="7"/>
  <c r="AI11" i="7"/>
  <c r="BB36" i="7"/>
  <c r="AF31" i="7"/>
  <c r="BB132" i="7"/>
  <c r="AF132" i="7"/>
  <c r="AI130" i="7"/>
  <c r="BD129" i="7"/>
  <c r="BA129" i="7"/>
  <c r="AE129" i="7"/>
  <c r="AG129" i="7"/>
  <c r="BD132" i="7"/>
  <c r="AE132" i="7"/>
  <c r="AG132" i="7" s="1"/>
  <c r="BA132" i="7"/>
  <c r="BB127" i="7"/>
  <c r="BE127" i="7"/>
  <c r="AF127" i="7"/>
  <c r="BE124" i="7"/>
  <c r="BF124" i="7"/>
  <c r="BG124" i="7" s="1"/>
  <c r="BI124" i="7" s="1"/>
  <c r="AF124" i="7"/>
  <c r="BB124" i="7"/>
  <c r="AI122" i="7"/>
  <c r="BA124" i="7"/>
  <c r="BC124" i="7" s="1"/>
  <c r="BA123" i="7"/>
  <c r="BC123" i="7"/>
  <c r="AE123" i="7"/>
  <c r="BD123" i="7"/>
  <c r="BF123" i="7"/>
  <c r="BG123" i="7" s="1"/>
  <c r="BI123" i="7" s="1"/>
  <c r="BE122" i="7"/>
  <c r="BB122" i="7"/>
  <c r="AE119" i="7"/>
  <c r="AG119" i="7"/>
  <c r="BA113" i="7"/>
  <c r="BC113" i="7" s="1"/>
  <c r="BD113" i="7"/>
  <c r="BF113" i="7" s="1"/>
  <c r="BG113" i="7" s="1"/>
  <c r="AE113" i="7"/>
  <c r="AG113" i="7"/>
  <c r="BH117" i="7"/>
  <c r="AI117" i="7"/>
  <c r="BI117" i="7"/>
  <c r="AF116" i="7"/>
  <c r="BB114" i="7"/>
  <c r="BE114" i="7"/>
  <c r="BB112" i="7"/>
  <c r="AI112" i="7"/>
  <c r="BI112" i="7" s="1"/>
  <c r="BH112" i="7"/>
  <c r="BH108" i="7"/>
  <c r="AI107" i="7"/>
  <c r="BH103" i="7"/>
  <c r="AI103" i="7"/>
  <c r="BI103" i="7"/>
  <c r="BE103" i="7"/>
  <c r="AF103" i="7"/>
  <c r="BB103" i="7"/>
  <c r="BD101" i="7"/>
  <c r="BF101" i="7" s="1"/>
  <c r="BG101" i="7" s="1"/>
  <c r="BA101" i="7"/>
  <c r="BC101" i="7"/>
  <c r="AE101" i="7"/>
  <c r="AG101" i="7"/>
  <c r="AI100" i="7"/>
  <c r="BA99" i="7"/>
  <c r="BC99" i="7" s="1"/>
  <c r="BD99" i="7"/>
  <c r="BF99" i="7" s="1"/>
  <c r="BG99" i="7" s="1"/>
  <c r="BI99" i="7" s="1"/>
  <c r="AE99" i="7"/>
  <c r="BA98" i="7"/>
  <c r="BC98" i="7"/>
  <c r="BD98" i="7"/>
  <c r="BF98" i="7"/>
  <c r="AE98" i="7"/>
  <c r="AG98" i="7" s="1"/>
  <c r="AI96" i="7"/>
  <c r="BH93" i="7"/>
  <c r="AI93" i="7"/>
  <c r="BI93" i="7" s="1"/>
  <c r="AI102" i="7"/>
  <c r="BI102" i="7" s="1"/>
  <c r="BH102" i="7"/>
  <c r="BE100" i="7"/>
  <c r="AF100" i="7"/>
  <c r="AG100" i="7" s="1"/>
  <c r="BB100" i="7"/>
  <c r="AF96" i="7"/>
  <c r="BF94" i="7"/>
  <c r="BG94" i="7" s="1"/>
  <c r="AE94" i="7"/>
  <c r="AG94" i="7" s="1"/>
  <c r="BA94" i="7"/>
  <c r="BB93" i="7"/>
  <c r="BE93" i="7"/>
  <c r="BD91" i="7"/>
  <c r="BF91" i="7" s="1"/>
  <c r="BG91" i="7" s="1"/>
  <c r="BI91" i="7" s="1"/>
  <c r="BA90" i="7"/>
  <c r="BC90" i="7"/>
  <c r="AE90" i="7"/>
  <c r="AG90" i="7"/>
  <c r="BD90" i="7"/>
  <c r="BF90" i="7"/>
  <c r="BA87" i="7"/>
  <c r="BC87" i="7" s="1"/>
  <c r="BD87" i="7"/>
  <c r="BF87" i="7" s="1"/>
  <c r="BG87" i="7"/>
  <c r="AE87" i="7"/>
  <c r="AG87" i="7"/>
  <c r="BH74" i="7"/>
  <c r="AI74" i="7"/>
  <c r="BI74" i="7"/>
  <c r="AI73" i="7"/>
  <c r="AI69" i="7"/>
  <c r="BE68" i="7"/>
  <c r="BB68" i="7"/>
  <c r="AF68" i="7"/>
  <c r="AG68" i="7" s="1"/>
  <c r="AI66" i="7"/>
  <c r="BH62" i="7"/>
  <c r="AI62" i="7"/>
  <c r="BI62" i="7"/>
  <c r="BA61" i="7"/>
  <c r="BC61" i="7"/>
  <c r="BD61" i="7"/>
  <c r="BF61" i="7"/>
  <c r="BD59" i="7"/>
  <c r="BF59" i="7" s="1"/>
  <c r="BG59" i="7" s="1"/>
  <c r="BI59" i="7" s="1"/>
  <c r="BA59" i="7"/>
  <c r="BC59" i="7"/>
  <c r="BA89" i="7"/>
  <c r="BC89" i="7" s="1"/>
  <c r="BD89" i="7"/>
  <c r="BF89" i="7" s="1"/>
  <c r="BG89" i="7" s="1"/>
  <c r="AE85" i="7"/>
  <c r="AG85" i="7"/>
  <c r="AI81" i="7"/>
  <c r="AI79" i="7"/>
  <c r="BI79" i="7" s="1"/>
  <c r="BH79" i="7"/>
  <c r="AI77" i="7"/>
  <c r="BI77" i="7" s="1"/>
  <c r="BH77" i="7"/>
  <c r="BF76" i="7"/>
  <c r="BG76" i="7" s="1"/>
  <c r="BA76" i="7"/>
  <c r="BC76" i="7" s="1"/>
  <c r="BB75" i="7"/>
  <c r="BE75" i="7"/>
  <c r="AF75" i="7"/>
  <c r="AI75" i="7"/>
  <c r="AI71" i="7"/>
  <c r="AI68" i="7"/>
  <c r="BI68" i="7"/>
  <c r="BH68" i="7"/>
  <c r="AI65" i="7"/>
  <c r="AF63" i="7"/>
  <c r="BD63" i="7"/>
  <c r="BA63" i="7"/>
  <c r="BC63" i="7" s="1"/>
  <c r="BB60" i="7"/>
  <c r="BH57" i="7"/>
  <c r="AI57" i="7"/>
  <c r="BI57" i="7"/>
  <c r="AF57" i="7"/>
  <c r="BD54" i="7"/>
  <c r="AE54" i="7"/>
  <c r="AG54" i="7" s="1"/>
  <c r="BA51" i="7"/>
  <c r="AE51" i="7"/>
  <c r="BB48" i="7"/>
  <c r="AF48" i="7"/>
  <c r="AG48" i="7" s="1"/>
  <c r="BA43" i="7"/>
  <c r="BD43" i="7"/>
  <c r="BF43" i="7" s="1"/>
  <c r="BG43" i="7" s="1"/>
  <c r="BI43" i="7" s="1"/>
  <c r="AE43" i="7"/>
  <c r="AG43" i="7"/>
  <c r="BD41" i="7"/>
  <c r="BF41" i="7"/>
  <c r="BA41" i="7"/>
  <c r="BC41" i="7" s="1"/>
  <c r="AE41" i="7"/>
  <c r="AG41" i="7" s="1"/>
  <c r="AI58" i="7"/>
  <c r="BI58" i="7" s="1"/>
  <c r="BH58" i="7"/>
  <c r="AE55" i="7"/>
  <c r="AG55" i="7" s="1"/>
  <c r="BB54" i="7"/>
  <c r="BE54" i="7"/>
  <c r="AF51" i="7"/>
  <c r="BB49" i="7"/>
  <c r="AF49" i="7"/>
  <c r="AE49" i="7"/>
  <c r="AG49" i="7" s="1"/>
  <c r="BD48" i="7"/>
  <c r="BF48" i="7" s="1"/>
  <c r="BH47" i="7"/>
  <c r="BD44" i="7"/>
  <c r="BF44" i="7" s="1"/>
  <c r="BG44" i="7" s="1"/>
  <c r="BE43" i="7"/>
  <c r="AF43" i="7"/>
  <c r="BB43" i="7"/>
  <c r="BB41" i="7"/>
  <c r="AF41" i="7"/>
  <c r="BE41" i="7"/>
  <c r="BD37" i="7"/>
  <c r="BF37" i="7"/>
  <c r="BG37" i="7" s="1"/>
  <c r="BA37" i="7"/>
  <c r="BC37" i="7" s="1"/>
  <c r="AI36" i="7"/>
  <c r="AI33" i="7"/>
  <c r="BB58" i="7"/>
  <c r="AG39" i="7"/>
  <c r="BB38" i="7"/>
  <c r="BE38" i="7"/>
  <c r="AF38" i="7"/>
  <c r="AG38" i="7" s="1"/>
  <c r="AI32" i="7"/>
  <c r="BD31" i="7"/>
  <c r="BF31" i="7" s="1"/>
  <c r="BH31" i="7" s="1"/>
  <c r="BG31" i="7"/>
  <c r="BI31" i="7" s="1"/>
  <c r="BA31" i="7"/>
  <c r="BC31" i="7"/>
  <c r="AE31" i="7"/>
  <c r="AG31" i="7"/>
  <c r="BD29" i="7"/>
  <c r="BA29" i="7"/>
  <c r="BC29" i="7" s="1"/>
  <c r="AE29" i="7"/>
  <c r="AG29" i="7"/>
  <c r="BA28" i="7"/>
  <c r="BC28" i="7" s="1"/>
  <c r="BD28" i="7"/>
  <c r="BF28" i="7" s="1"/>
  <c r="BG28" i="7"/>
  <c r="AI26" i="7"/>
  <c r="AI20" i="7"/>
  <c r="BD18" i="7"/>
  <c r="BA18" i="7"/>
  <c r="BC18" i="7" s="1"/>
  <c r="AE18" i="7"/>
  <c r="AG18" i="7" s="1"/>
  <c r="BF16" i="7"/>
  <c r="BG16" i="7" s="1"/>
  <c r="BA16" i="7"/>
  <c r="BC16" i="7" s="1"/>
  <c r="AE16" i="7"/>
  <c r="AG16" i="7" s="1"/>
  <c r="BH40" i="7"/>
  <c r="BH39" i="7"/>
  <c r="AI39" i="7"/>
  <c r="BI39" i="7" s="1"/>
  <c r="BD38" i="7"/>
  <c r="BF38" i="7" s="1"/>
  <c r="BG38" i="7"/>
  <c r="BI38" i="7" s="1"/>
  <c r="BB33" i="7"/>
  <c r="BB29" i="7"/>
  <c r="AF29" i="7"/>
  <c r="BE29" i="7"/>
  <c r="BB26" i="7"/>
  <c r="AF26" i="7"/>
  <c r="BE26" i="7"/>
  <c r="BA25" i="7"/>
  <c r="BC25" i="7" s="1"/>
  <c r="BD25" i="7"/>
  <c r="BF25" i="7" s="1"/>
  <c r="BH25" i="7" s="1"/>
  <c r="BG25" i="7"/>
  <c r="BB20" i="7"/>
  <c r="AF20" i="7"/>
  <c r="BE20" i="7"/>
  <c r="BF20" i="7" s="1"/>
  <c r="BE11" i="7"/>
  <c r="BC14" i="7"/>
  <c r="BE31" i="7"/>
  <c r="BH124" i="7"/>
  <c r="BF132" i="7"/>
  <c r="BH16" i="7"/>
  <c r="AG20" i="7"/>
  <c r="BC32" i="7"/>
  <c r="BI37" i="7"/>
  <c r="BI87" i="7"/>
  <c r="BH91" i="7"/>
  <c r="BH101" i="7"/>
  <c r="BH123" i="7"/>
  <c r="BC122" i="7"/>
  <c r="BC127" i="7"/>
  <c r="BF29" i="7"/>
  <c r="BC43" i="7"/>
  <c r="BF51" i="7"/>
  <c r="BC54" i="7"/>
  <c r="BC20" i="7"/>
  <c r="BH28" i="7"/>
  <c r="BH37" i="7"/>
  <c r="BH89" i="7"/>
  <c r="BH59" i="7"/>
  <c r="BH94" i="7"/>
  <c r="BH99" i="7"/>
  <c r="BG51" i="7"/>
  <c r="BH51" i="7"/>
  <c r="BG48" i="7"/>
  <c r="BH48" i="7"/>
  <c r="BG20" i="7"/>
  <c r="BH20" i="7"/>
  <c r="Q6" i="6"/>
  <c r="P6" i="6"/>
  <c r="P7" i="6"/>
  <c r="O6" i="6"/>
  <c r="O7" i="6"/>
  <c r="N6" i="6"/>
  <c r="N7" i="6"/>
  <c r="M6" i="6"/>
  <c r="M7" i="6"/>
  <c r="L6" i="6"/>
  <c r="L7" i="6"/>
  <c r="K6" i="6"/>
  <c r="K7" i="6"/>
  <c r="J6" i="6"/>
  <c r="J7" i="6"/>
  <c r="I6" i="6"/>
  <c r="I7" i="6"/>
  <c r="H6" i="6"/>
  <c r="H7" i="6"/>
  <c r="G6" i="6"/>
  <c r="G7" i="6"/>
  <c r="F6" i="6"/>
  <c r="F7" i="6"/>
  <c r="E6" i="6"/>
  <c r="E7" i="6"/>
  <c r="D6" i="6"/>
  <c r="D7" i="6"/>
  <c r="C6" i="6"/>
  <c r="C7" i="6"/>
  <c r="W131" i="5"/>
  <c r="V131" i="5"/>
  <c r="T131" i="5"/>
  <c r="R131" i="5"/>
  <c r="P131" i="5"/>
  <c r="N131" i="5"/>
  <c r="L131" i="5"/>
  <c r="J131" i="5"/>
  <c r="H131" i="5"/>
  <c r="F131" i="5"/>
  <c r="D131" i="5"/>
  <c r="Y130" i="5"/>
  <c r="X130" i="5"/>
  <c r="U130" i="5"/>
  <c r="S130" i="5"/>
  <c r="Q130" i="5"/>
  <c r="O130" i="5"/>
  <c r="M130" i="5"/>
  <c r="K130" i="5"/>
  <c r="I130" i="5"/>
  <c r="G130" i="5"/>
  <c r="E130" i="5"/>
  <c r="C130" i="5"/>
  <c r="W129" i="5"/>
  <c r="T129" i="5" s="1"/>
  <c r="P129" i="5"/>
  <c r="H129" i="5"/>
  <c r="W128" i="5"/>
  <c r="H128" i="5"/>
  <c r="W127" i="5"/>
  <c r="V127" i="5"/>
  <c r="T127" i="5"/>
  <c r="R127" i="5"/>
  <c r="P127" i="5"/>
  <c r="N127" i="5"/>
  <c r="L127" i="5"/>
  <c r="J127" i="5"/>
  <c r="H127" i="5"/>
  <c r="F127" i="5"/>
  <c r="D127" i="5"/>
  <c r="X126" i="5"/>
  <c r="U126" i="5"/>
  <c r="S126" i="5"/>
  <c r="Q126" i="5"/>
  <c r="O126" i="5"/>
  <c r="M126" i="5"/>
  <c r="K126" i="5"/>
  <c r="I126" i="5"/>
  <c r="G126" i="5"/>
  <c r="E126" i="5"/>
  <c r="C126" i="5"/>
  <c r="Z125" i="5"/>
  <c r="Y125" i="5"/>
  <c r="X125" i="5"/>
  <c r="U125" i="5"/>
  <c r="S125" i="5"/>
  <c r="Q125" i="5"/>
  <c r="O125" i="5"/>
  <c r="M125" i="5"/>
  <c r="K125" i="5"/>
  <c r="I125" i="5"/>
  <c r="G125" i="5"/>
  <c r="E125" i="5"/>
  <c r="C125" i="5"/>
  <c r="W125" i="5" s="1"/>
  <c r="W124" i="5"/>
  <c r="P124" i="5"/>
  <c r="H124" i="5"/>
  <c r="W123" i="5"/>
  <c r="T123" i="5" s="1"/>
  <c r="P123" i="5"/>
  <c r="H123" i="5"/>
  <c r="W122" i="5"/>
  <c r="P122" i="5"/>
  <c r="H122" i="5"/>
  <c r="W121" i="5"/>
  <c r="T121" i="5"/>
  <c r="P121" i="5"/>
  <c r="L121" i="5"/>
  <c r="H121" i="5"/>
  <c r="D121" i="5"/>
  <c r="W120" i="5"/>
  <c r="T120" i="5"/>
  <c r="P120" i="5"/>
  <c r="L120" i="5"/>
  <c r="H120" i="5"/>
  <c r="D120" i="5"/>
  <c r="X119" i="5"/>
  <c r="U119" i="5"/>
  <c r="S119" i="5"/>
  <c r="Q119" i="5"/>
  <c r="O119" i="5"/>
  <c r="M119" i="5"/>
  <c r="K119" i="5"/>
  <c r="I119" i="5"/>
  <c r="G119" i="5"/>
  <c r="E119" i="5"/>
  <c r="C119" i="5"/>
  <c r="W118" i="5"/>
  <c r="T118" i="5" s="1"/>
  <c r="P118" i="5"/>
  <c r="H118" i="5"/>
  <c r="X117" i="5"/>
  <c r="U117" i="5"/>
  <c r="S117" i="5"/>
  <c r="Q117" i="5"/>
  <c r="O117" i="5"/>
  <c r="M117" i="5"/>
  <c r="K117" i="5"/>
  <c r="I117" i="5"/>
  <c r="G117" i="5"/>
  <c r="E117" i="5"/>
  <c r="C117" i="5"/>
  <c r="W117" i="5"/>
  <c r="W116" i="5"/>
  <c r="T116" i="5"/>
  <c r="P116" i="5"/>
  <c r="L116" i="5"/>
  <c r="H116" i="5"/>
  <c r="D116" i="5"/>
  <c r="W115" i="5"/>
  <c r="V115" i="5"/>
  <c r="T115" i="5"/>
  <c r="R115" i="5"/>
  <c r="P115" i="5"/>
  <c r="N115" i="5"/>
  <c r="L115" i="5"/>
  <c r="J115" i="5"/>
  <c r="H115" i="5"/>
  <c r="F115" i="5"/>
  <c r="D115" i="5"/>
  <c r="W114" i="5"/>
  <c r="H114" i="5" s="1"/>
  <c r="W113" i="5"/>
  <c r="T113" i="5" s="1"/>
  <c r="P113" i="5"/>
  <c r="H113" i="5"/>
  <c r="W112" i="5"/>
  <c r="T112" i="5"/>
  <c r="P112" i="5"/>
  <c r="L112" i="5"/>
  <c r="H112" i="5"/>
  <c r="D112" i="5"/>
  <c r="W111" i="5"/>
  <c r="V111" i="5"/>
  <c r="T111" i="5"/>
  <c r="R111" i="5"/>
  <c r="P111" i="5"/>
  <c r="N111" i="5"/>
  <c r="L111" i="5"/>
  <c r="J111" i="5"/>
  <c r="H111" i="5"/>
  <c r="F111" i="5"/>
  <c r="D111" i="5"/>
  <c r="W110" i="5"/>
  <c r="P110" i="5" s="1"/>
  <c r="H110" i="5"/>
  <c r="W109" i="5"/>
  <c r="V109" i="5"/>
  <c r="T109" i="5"/>
  <c r="R109" i="5"/>
  <c r="P109" i="5"/>
  <c r="N109" i="5"/>
  <c r="L109" i="5"/>
  <c r="J109" i="5"/>
  <c r="H109" i="5"/>
  <c r="F109" i="5"/>
  <c r="D109" i="5"/>
  <c r="W108" i="5"/>
  <c r="P108" i="5" s="1"/>
  <c r="H108" i="5"/>
  <c r="X107" i="5"/>
  <c r="U107" i="5"/>
  <c r="S107" i="5"/>
  <c r="Q107" i="5"/>
  <c r="O107" i="5"/>
  <c r="M107" i="5"/>
  <c r="K107" i="5"/>
  <c r="I107" i="5"/>
  <c r="G107" i="5"/>
  <c r="E107" i="5"/>
  <c r="C107" i="5"/>
  <c r="W106" i="5"/>
  <c r="V106" i="5"/>
  <c r="T106" i="5"/>
  <c r="R106" i="5"/>
  <c r="P106" i="5"/>
  <c r="N106" i="5"/>
  <c r="L106" i="5"/>
  <c r="J106" i="5"/>
  <c r="H106" i="5"/>
  <c r="F106" i="5"/>
  <c r="D106" i="5"/>
  <c r="W105" i="5"/>
  <c r="H105" i="5" s="1"/>
  <c r="W104" i="5"/>
  <c r="T104" i="5" s="1"/>
  <c r="P104" i="5"/>
  <c r="H104" i="5"/>
  <c r="X103" i="5"/>
  <c r="U103" i="5"/>
  <c r="S103" i="5"/>
  <c r="Q103" i="5"/>
  <c r="O103" i="5"/>
  <c r="M103" i="5"/>
  <c r="K103" i="5"/>
  <c r="I103" i="5"/>
  <c r="G103" i="5"/>
  <c r="E103" i="5"/>
  <c r="C103" i="5"/>
  <c r="W103" i="5"/>
  <c r="V103" i="5" s="1"/>
  <c r="W102" i="5"/>
  <c r="R102" i="5"/>
  <c r="N102" i="5"/>
  <c r="J102" i="5"/>
  <c r="F102" i="5"/>
  <c r="W101" i="5"/>
  <c r="P101" i="5" s="1"/>
  <c r="H101" i="5"/>
  <c r="W100" i="5"/>
  <c r="V100" i="5"/>
  <c r="T100" i="5"/>
  <c r="R100" i="5"/>
  <c r="P100" i="5"/>
  <c r="N100" i="5"/>
  <c r="L100" i="5"/>
  <c r="J100" i="5"/>
  <c r="H100" i="5"/>
  <c r="F100" i="5"/>
  <c r="D100" i="5"/>
  <c r="W99" i="5"/>
  <c r="P99" i="5" s="1"/>
  <c r="H99" i="5"/>
  <c r="W98" i="5"/>
  <c r="T98" i="5"/>
  <c r="P98" i="5"/>
  <c r="L98" i="5"/>
  <c r="H98" i="5"/>
  <c r="D98" i="5"/>
  <c r="W97" i="5"/>
  <c r="P97" i="5"/>
  <c r="H97" i="5"/>
  <c r="W96" i="5"/>
  <c r="T96" i="5" s="1"/>
  <c r="P96" i="5"/>
  <c r="H96" i="5"/>
  <c r="W95" i="5"/>
  <c r="T95" i="5"/>
  <c r="P95" i="5"/>
  <c r="L95" i="5"/>
  <c r="H95" i="5"/>
  <c r="D95" i="5"/>
  <c r="W94" i="5"/>
  <c r="V94" i="5"/>
  <c r="T94" i="5"/>
  <c r="R94" i="5"/>
  <c r="P94" i="5"/>
  <c r="N94" i="5"/>
  <c r="L94" i="5"/>
  <c r="J94" i="5"/>
  <c r="H94" i="5"/>
  <c r="F94" i="5"/>
  <c r="D94" i="5"/>
  <c r="W93" i="5"/>
  <c r="P93" i="5" s="1"/>
  <c r="H93" i="5"/>
  <c r="W92" i="5"/>
  <c r="V92" i="5"/>
  <c r="T92" i="5"/>
  <c r="R92" i="5"/>
  <c r="P92" i="5"/>
  <c r="N92" i="5"/>
  <c r="L92" i="5"/>
  <c r="J92" i="5"/>
  <c r="H92" i="5"/>
  <c r="F92" i="5"/>
  <c r="D92" i="5"/>
  <c r="W91" i="5"/>
  <c r="P91" i="5" s="1"/>
  <c r="H91" i="5"/>
  <c r="W90" i="5"/>
  <c r="T90" i="5"/>
  <c r="P90" i="5"/>
  <c r="L90" i="5"/>
  <c r="H90" i="5"/>
  <c r="D90" i="5"/>
  <c r="Z89" i="5"/>
  <c r="U89" i="5"/>
  <c r="S89" i="5"/>
  <c r="Q89" i="5"/>
  <c r="O89" i="5"/>
  <c r="M89" i="5"/>
  <c r="K89" i="5"/>
  <c r="I89" i="5"/>
  <c r="G89" i="5"/>
  <c r="E89" i="5"/>
  <c r="C89" i="5"/>
  <c r="W89" i="5"/>
  <c r="X88" i="5"/>
  <c r="U88" i="5"/>
  <c r="S88" i="5"/>
  <c r="Q88" i="5"/>
  <c r="O88" i="5"/>
  <c r="M88" i="5"/>
  <c r="K88" i="5"/>
  <c r="I88" i="5"/>
  <c r="G88" i="5"/>
  <c r="E88" i="5"/>
  <c r="C88" i="5"/>
  <c r="W87" i="5"/>
  <c r="P87" i="5" s="1"/>
  <c r="W86" i="5"/>
  <c r="V86" i="5"/>
  <c r="T86" i="5"/>
  <c r="R86" i="5"/>
  <c r="P86" i="5"/>
  <c r="N86" i="5"/>
  <c r="L86" i="5"/>
  <c r="J86" i="5"/>
  <c r="H86" i="5"/>
  <c r="F86" i="5"/>
  <c r="D86" i="5"/>
  <c r="W85" i="5"/>
  <c r="P85" i="5"/>
  <c r="H85" i="5"/>
  <c r="W84" i="5"/>
  <c r="T84" i="5" s="1"/>
  <c r="P84" i="5"/>
  <c r="H84" i="5"/>
  <c r="W83" i="5"/>
  <c r="P83" i="5"/>
  <c r="H83" i="5"/>
  <c r="W82" i="5"/>
  <c r="T82" i="5"/>
  <c r="P82" i="5"/>
  <c r="L82" i="5"/>
  <c r="H82" i="5"/>
  <c r="D82" i="5"/>
  <c r="Y81" i="5"/>
  <c r="X81" i="5"/>
  <c r="U81" i="5"/>
  <c r="S81" i="5"/>
  <c r="Q81" i="5"/>
  <c r="O81" i="5"/>
  <c r="M81" i="5"/>
  <c r="K81" i="5"/>
  <c r="I81" i="5"/>
  <c r="G81" i="5"/>
  <c r="E81" i="5"/>
  <c r="C81" i="5"/>
  <c r="W80" i="5"/>
  <c r="V80" i="5"/>
  <c r="T80" i="5"/>
  <c r="R80" i="5"/>
  <c r="P80" i="5"/>
  <c r="N80" i="5"/>
  <c r="L80" i="5"/>
  <c r="J80" i="5"/>
  <c r="H80" i="5"/>
  <c r="F80" i="5"/>
  <c r="D80" i="5"/>
  <c r="W79" i="5"/>
  <c r="P79" i="5" s="1"/>
  <c r="H79" i="5"/>
  <c r="Z78" i="5"/>
  <c r="X78" i="5"/>
  <c r="U78" i="5"/>
  <c r="S78" i="5"/>
  <c r="Q78" i="5"/>
  <c r="O78" i="5"/>
  <c r="M78" i="5"/>
  <c r="K78" i="5"/>
  <c r="I78" i="5"/>
  <c r="G78" i="5"/>
  <c r="E78" i="5"/>
  <c r="C78" i="5"/>
  <c r="W78" i="5"/>
  <c r="W77" i="5"/>
  <c r="P77" i="5" s="1"/>
  <c r="H77" i="5"/>
  <c r="W76" i="5"/>
  <c r="T76" i="5"/>
  <c r="P76" i="5"/>
  <c r="L76" i="5"/>
  <c r="H76" i="5"/>
  <c r="D76" i="5"/>
  <c r="W75" i="5"/>
  <c r="P75" i="5"/>
  <c r="H75" i="5"/>
  <c r="W74" i="5"/>
  <c r="T74" i="5" s="1"/>
  <c r="P74" i="5"/>
  <c r="H74" i="5"/>
  <c r="W73" i="5"/>
  <c r="T73" i="5"/>
  <c r="P73" i="5"/>
  <c r="L73" i="5"/>
  <c r="H73" i="5"/>
  <c r="D73" i="5"/>
  <c r="X72" i="5"/>
  <c r="U72" i="5"/>
  <c r="S72" i="5"/>
  <c r="Q72" i="5"/>
  <c r="O72" i="5"/>
  <c r="M72" i="5"/>
  <c r="K72" i="5"/>
  <c r="I72" i="5"/>
  <c r="G72" i="5"/>
  <c r="E72" i="5"/>
  <c r="C72" i="5"/>
  <c r="W71" i="5"/>
  <c r="T71" i="5"/>
  <c r="P71" i="5"/>
  <c r="L71" i="5"/>
  <c r="H71" i="5"/>
  <c r="D71" i="5"/>
  <c r="X70" i="5"/>
  <c r="U70" i="5"/>
  <c r="S70" i="5"/>
  <c r="Q70" i="5"/>
  <c r="O70" i="5"/>
  <c r="M70" i="5"/>
  <c r="K70" i="5"/>
  <c r="I70" i="5"/>
  <c r="G70" i="5"/>
  <c r="E70" i="5"/>
  <c r="C70" i="5"/>
  <c r="W70" i="5"/>
  <c r="W69" i="5"/>
  <c r="P69" i="5"/>
  <c r="H69" i="5"/>
  <c r="W68" i="5"/>
  <c r="T68" i="5" s="1"/>
  <c r="P68" i="5"/>
  <c r="H68" i="5"/>
  <c r="W67" i="5"/>
  <c r="P67" i="5"/>
  <c r="H67" i="5"/>
  <c r="W66" i="5"/>
  <c r="T66" i="5"/>
  <c r="P66" i="5"/>
  <c r="L66" i="5"/>
  <c r="H66" i="5"/>
  <c r="D66" i="5"/>
  <c r="X65" i="5"/>
  <c r="U65" i="5"/>
  <c r="S65" i="5"/>
  <c r="Q65" i="5"/>
  <c r="O65" i="5"/>
  <c r="M65" i="5"/>
  <c r="K65" i="5"/>
  <c r="I65" i="5"/>
  <c r="G65" i="5"/>
  <c r="E65" i="5"/>
  <c r="C65" i="5"/>
  <c r="W65" i="5"/>
  <c r="V65" i="5" s="1"/>
  <c r="W64" i="5"/>
  <c r="P64" i="5"/>
  <c r="H64" i="5"/>
  <c r="W63" i="5"/>
  <c r="T63" i="5" s="1"/>
  <c r="P63" i="5"/>
  <c r="H63" i="5"/>
  <c r="X62" i="5"/>
  <c r="U62" i="5"/>
  <c r="S62" i="5"/>
  <c r="Q62" i="5"/>
  <c r="O62" i="5"/>
  <c r="M62" i="5"/>
  <c r="K62" i="5"/>
  <c r="I62" i="5"/>
  <c r="G62" i="5"/>
  <c r="E62" i="5"/>
  <c r="C62" i="5"/>
  <c r="W62" i="5"/>
  <c r="V62" i="5" s="1"/>
  <c r="W61" i="5"/>
  <c r="P61" i="5"/>
  <c r="H61" i="5"/>
  <c r="W60" i="5"/>
  <c r="T60" i="5"/>
  <c r="P60" i="5"/>
  <c r="L60" i="5"/>
  <c r="H60" i="5"/>
  <c r="D60" i="5"/>
  <c r="W59" i="5"/>
  <c r="T59" i="5"/>
  <c r="P59" i="5"/>
  <c r="L59" i="5"/>
  <c r="J59" i="5"/>
  <c r="H59" i="5"/>
  <c r="F59" i="5"/>
  <c r="D59" i="5"/>
  <c r="X58" i="5"/>
  <c r="U58" i="5"/>
  <c r="S58" i="5"/>
  <c r="Q58" i="5"/>
  <c r="O58" i="5"/>
  <c r="M58" i="5"/>
  <c r="K58" i="5"/>
  <c r="I58" i="5"/>
  <c r="G58" i="5"/>
  <c r="E58" i="5"/>
  <c r="C58" i="5"/>
  <c r="W57" i="5"/>
  <c r="T57" i="5" s="1"/>
  <c r="P57" i="5"/>
  <c r="H57" i="5"/>
  <c r="W56" i="5"/>
  <c r="V56" i="5"/>
  <c r="T56" i="5"/>
  <c r="P56" i="5"/>
  <c r="L56" i="5"/>
  <c r="H56" i="5"/>
  <c r="D56" i="5"/>
  <c r="W55" i="5"/>
  <c r="T55" i="5"/>
  <c r="P55" i="5"/>
  <c r="L55" i="5"/>
  <c r="H55" i="5"/>
  <c r="D55" i="5"/>
  <c r="W54" i="5"/>
  <c r="V54" i="5"/>
  <c r="T54" i="5"/>
  <c r="P54" i="5"/>
  <c r="L54" i="5"/>
  <c r="H54" i="5"/>
  <c r="D54" i="5"/>
  <c r="X53" i="5"/>
  <c r="U53" i="5"/>
  <c r="S53" i="5"/>
  <c r="Q53" i="5"/>
  <c r="O53" i="5"/>
  <c r="M53" i="5"/>
  <c r="K53" i="5"/>
  <c r="I53" i="5"/>
  <c r="G53" i="5"/>
  <c r="E53" i="5"/>
  <c r="C53" i="5"/>
  <c r="W52" i="5"/>
  <c r="V52" i="5"/>
  <c r="T52" i="5"/>
  <c r="R52" i="5"/>
  <c r="P52" i="5"/>
  <c r="N52" i="5"/>
  <c r="L52" i="5"/>
  <c r="J52" i="5"/>
  <c r="H52" i="5"/>
  <c r="F52" i="5"/>
  <c r="D52" i="5"/>
  <c r="W51" i="5"/>
  <c r="T51" i="5" s="1"/>
  <c r="L51" i="5"/>
  <c r="X50" i="5"/>
  <c r="U50" i="5"/>
  <c r="S50" i="5"/>
  <c r="Q50" i="5"/>
  <c r="O50" i="5"/>
  <c r="M50" i="5"/>
  <c r="K50" i="5"/>
  <c r="I50" i="5"/>
  <c r="G50" i="5"/>
  <c r="E50" i="5"/>
  <c r="C50" i="5"/>
  <c r="W49" i="5"/>
  <c r="T49" i="5"/>
  <c r="P49" i="5"/>
  <c r="L49" i="5"/>
  <c r="H49" i="5"/>
  <c r="D49" i="5"/>
  <c r="X48" i="5"/>
  <c r="U48" i="5"/>
  <c r="S48" i="5"/>
  <c r="Q48" i="5"/>
  <c r="O48" i="5"/>
  <c r="M48" i="5"/>
  <c r="K48" i="5"/>
  <c r="I48" i="5"/>
  <c r="G48" i="5"/>
  <c r="E48" i="5"/>
  <c r="C48" i="5"/>
  <c r="W48" i="5"/>
  <c r="X47" i="5"/>
  <c r="U47" i="5"/>
  <c r="S47" i="5"/>
  <c r="Q47" i="5"/>
  <c r="O47" i="5"/>
  <c r="M47" i="5"/>
  <c r="K47" i="5"/>
  <c r="I47" i="5"/>
  <c r="G47" i="5"/>
  <c r="E47" i="5"/>
  <c r="C47" i="5"/>
  <c r="W46" i="5"/>
  <c r="P46" i="5" s="1"/>
  <c r="X45" i="5"/>
  <c r="U45" i="5"/>
  <c r="S45" i="5"/>
  <c r="Q45" i="5"/>
  <c r="O45" i="5"/>
  <c r="M45" i="5"/>
  <c r="K45" i="5"/>
  <c r="I45" i="5"/>
  <c r="G45" i="5"/>
  <c r="E45" i="5"/>
  <c r="C45" i="5"/>
  <c r="W44" i="5"/>
  <c r="T44" i="5"/>
  <c r="P44" i="5"/>
  <c r="L44" i="5"/>
  <c r="H44" i="5"/>
  <c r="D44" i="5"/>
  <c r="W43" i="5"/>
  <c r="T43" i="5"/>
  <c r="P43" i="5"/>
  <c r="L43" i="5"/>
  <c r="H43" i="5"/>
  <c r="D43" i="5"/>
  <c r="W42" i="5"/>
  <c r="V42" i="5"/>
  <c r="T42" i="5"/>
  <c r="R42" i="5"/>
  <c r="P42" i="5"/>
  <c r="N42" i="5"/>
  <c r="L42" i="5"/>
  <c r="J42" i="5"/>
  <c r="H42" i="5"/>
  <c r="F42" i="5"/>
  <c r="D42" i="5"/>
  <c r="Z41" i="5"/>
  <c r="U41" i="5"/>
  <c r="S41" i="5"/>
  <c r="Q41" i="5"/>
  <c r="O41" i="5"/>
  <c r="M41" i="5"/>
  <c r="K41" i="5"/>
  <c r="I41" i="5"/>
  <c r="G41" i="5"/>
  <c r="E41" i="5"/>
  <c r="C41" i="5"/>
  <c r="W41" i="5"/>
  <c r="W40" i="5"/>
  <c r="P40" i="5" s="1"/>
  <c r="H40" i="5"/>
  <c r="W39" i="5"/>
  <c r="T39" i="5"/>
  <c r="P39" i="5"/>
  <c r="L39" i="5"/>
  <c r="H39" i="5"/>
  <c r="F39" i="5"/>
  <c r="D39" i="5"/>
  <c r="W38" i="5"/>
  <c r="P38" i="5" s="1"/>
  <c r="H38" i="5"/>
  <c r="W37" i="5"/>
  <c r="V37" i="5"/>
  <c r="T37" i="5"/>
  <c r="R37" i="5"/>
  <c r="P37" i="5"/>
  <c r="N37" i="5"/>
  <c r="L37" i="5"/>
  <c r="J37" i="5"/>
  <c r="H37" i="5"/>
  <c r="F37" i="5"/>
  <c r="D37" i="5"/>
  <c r="W36" i="5"/>
  <c r="T36" i="5" s="1"/>
  <c r="P36" i="5"/>
  <c r="H36" i="5"/>
  <c r="W35" i="5"/>
  <c r="V35" i="5" s="1"/>
  <c r="T35" i="5"/>
  <c r="P35" i="5"/>
  <c r="L35" i="5"/>
  <c r="H35" i="5"/>
  <c r="D35" i="5"/>
  <c r="W34" i="5"/>
  <c r="P34" i="5"/>
  <c r="H34" i="5"/>
  <c r="Z33" i="5"/>
  <c r="Y33" i="5"/>
  <c r="X33" i="5"/>
  <c r="U33" i="5"/>
  <c r="S33" i="5"/>
  <c r="Q33" i="5"/>
  <c r="O33" i="5"/>
  <c r="M33" i="5"/>
  <c r="K33" i="5"/>
  <c r="I33" i="5"/>
  <c r="G33" i="5"/>
  <c r="E33" i="5"/>
  <c r="C33" i="5"/>
  <c r="X32" i="5"/>
  <c r="U32" i="5"/>
  <c r="S32" i="5"/>
  <c r="Q32" i="5"/>
  <c r="O32" i="5"/>
  <c r="M32" i="5"/>
  <c r="K32" i="5"/>
  <c r="I32" i="5"/>
  <c r="G32" i="5"/>
  <c r="E32" i="5"/>
  <c r="C32" i="5"/>
  <c r="X31" i="5"/>
  <c r="U31" i="5"/>
  <c r="S31" i="5"/>
  <c r="Q31" i="5"/>
  <c r="O31" i="5"/>
  <c r="M31" i="5"/>
  <c r="K31" i="5"/>
  <c r="I31" i="5"/>
  <c r="G31" i="5"/>
  <c r="E31" i="5"/>
  <c r="C31" i="5"/>
  <c r="W30" i="5"/>
  <c r="V30" i="5"/>
  <c r="T30" i="5"/>
  <c r="R30" i="5"/>
  <c r="P30" i="5"/>
  <c r="N30" i="5"/>
  <c r="L30" i="5"/>
  <c r="J30" i="5"/>
  <c r="H30" i="5"/>
  <c r="F30" i="5"/>
  <c r="D30" i="5"/>
  <c r="W29" i="5"/>
  <c r="T29" i="5" s="1"/>
  <c r="P29" i="5"/>
  <c r="H29" i="5"/>
  <c r="W28" i="5"/>
  <c r="V28" i="5" s="1"/>
  <c r="T28" i="5"/>
  <c r="P28" i="5"/>
  <c r="L28" i="5"/>
  <c r="H28" i="5"/>
  <c r="D28" i="5"/>
  <c r="Y27" i="5"/>
  <c r="X27" i="5"/>
  <c r="U27" i="5"/>
  <c r="S27" i="5"/>
  <c r="Q27" i="5"/>
  <c r="O27" i="5"/>
  <c r="M27" i="5"/>
  <c r="K27" i="5"/>
  <c r="I27" i="5"/>
  <c r="G27" i="5"/>
  <c r="E27" i="5"/>
  <c r="C27" i="5"/>
  <c r="Z26" i="5"/>
  <c r="U26" i="5"/>
  <c r="S26" i="5"/>
  <c r="Q26" i="5"/>
  <c r="O26" i="5"/>
  <c r="M26" i="5"/>
  <c r="K26" i="5"/>
  <c r="I26" i="5"/>
  <c r="G26" i="5"/>
  <c r="E26" i="5"/>
  <c r="C26" i="5"/>
  <c r="X25" i="5"/>
  <c r="U25" i="5"/>
  <c r="S25" i="5"/>
  <c r="Q25" i="5"/>
  <c r="O25" i="5"/>
  <c r="M25" i="5"/>
  <c r="K25" i="5"/>
  <c r="I25" i="5"/>
  <c r="G25" i="5"/>
  <c r="E25" i="5"/>
  <c r="C25" i="5"/>
  <c r="W24" i="5"/>
  <c r="V24" i="5"/>
  <c r="T24" i="5"/>
  <c r="R24" i="5"/>
  <c r="P24" i="5"/>
  <c r="N24" i="5"/>
  <c r="L24" i="5"/>
  <c r="J24" i="5"/>
  <c r="H24" i="5"/>
  <c r="F24" i="5"/>
  <c r="D24" i="5"/>
  <c r="W23" i="5"/>
  <c r="P23" i="5" s="1"/>
  <c r="H23" i="5"/>
  <c r="X22" i="5"/>
  <c r="U22" i="5"/>
  <c r="S22" i="5"/>
  <c r="Q22" i="5"/>
  <c r="O22" i="5"/>
  <c r="M22" i="5"/>
  <c r="K22" i="5"/>
  <c r="I22" i="5"/>
  <c r="G22" i="5"/>
  <c r="E22" i="5"/>
  <c r="C22" i="5"/>
  <c r="W21" i="5"/>
  <c r="V21" i="5" s="1"/>
  <c r="T21" i="5"/>
  <c r="P21" i="5"/>
  <c r="L21" i="5"/>
  <c r="H21" i="5"/>
  <c r="D21" i="5"/>
  <c r="W20" i="5"/>
  <c r="T20" i="5"/>
  <c r="P20" i="5"/>
  <c r="L20" i="5"/>
  <c r="H20" i="5"/>
  <c r="D20" i="5"/>
  <c r="W19" i="5"/>
  <c r="V19" i="5"/>
  <c r="T19" i="5"/>
  <c r="R19" i="5"/>
  <c r="P19" i="5"/>
  <c r="N19" i="5"/>
  <c r="L19" i="5"/>
  <c r="J19" i="5"/>
  <c r="H19" i="5"/>
  <c r="F19" i="5"/>
  <c r="D19" i="5"/>
  <c r="X18" i="5"/>
  <c r="U18" i="5"/>
  <c r="S18" i="5"/>
  <c r="Q18" i="5"/>
  <c r="O18" i="5"/>
  <c r="M18" i="5"/>
  <c r="K18" i="5"/>
  <c r="I18" i="5"/>
  <c r="G18" i="5"/>
  <c r="E18" i="5"/>
  <c r="C18" i="5"/>
  <c r="W18" i="5" s="1"/>
  <c r="W17" i="5"/>
  <c r="T17" i="5"/>
  <c r="P17" i="5"/>
  <c r="L17" i="5"/>
  <c r="H17" i="5"/>
  <c r="D17" i="5"/>
  <c r="W16" i="5"/>
  <c r="V16" i="5"/>
  <c r="T16" i="5"/>
  <c r="R16" i="5"/>
  <c r="P16" i="5"/>
  <c r="N16" i="5"/>
  <c r="L16" i="5"/>
  <c r="J16" i="5"/>
  <c r="H16" i="5"/>
  <c r="F16" i="5"/>
  <c r="D16" i="5"/>
  <c r="X15" i="5"/>
  <c r="X7" i="5" s="1"/>
  <c r="U15" i="5"/>
  <c r="V15" i="5" s="1"/>
  <c r="S15" i="5"/>
  <c r="Q15" i="5"/>
  <c r="Q7" i="5" s="1"/>
  <c r="O15" i="5"/>
  <c r="M15" i="5"/>
  <c r="K15" i="5"/>
  <c r="I15" i="5"/>
  <c r="I7" i="5" s="1"/>
  <c r="G15" i="5"/>
  <c r="E15" i="5"/>
  <c r="C15" i="5"/>
  <c r="W15" i="5"/>
  <c r="W14" i="5"/>
  <c r="T14" i="5" s="1"/>
  <c r="P14" i="5"/>
  <c r="H14" i="5"/>
  <c r="W13" i="5"/>
  <c r="V13" i="5" s="1"/>
  <c r="T13" i="5"/>
  <c r="P13" i="5"/>
  <c r="L13" i="5"/>
  <c r="H13" i="5"/>
  <c r="D13" i="5"/>
  <c r="W12" i="5"/>
  <c r="P12" i="5"/>
  <c r="H12" i="5"/>
  <c r="W11" i="5"/>
  <c r="V11" i="5" s="1"/>
  <c r="T11" i="5"/>
  <c r="P11" i="5"/>
  <c r="L11" i="5"/>
  <c r="H11" i="5"/>
  <c r="D11" i="5"/>
  <c r="W10" i="5"/>
  <c r="T10" i="5"/>
  <c r="P10" i="5"/>
  <c r="L10" i="5"/>
  <c r="H10" i="5"/>
  <c r="D10" i="5"/>
  <c r="W9" i="5"/>
  <c r="V9" i="5"/>
  <c r="T9" i="5"/>
  <c r="R9" i="5"/>
  <c r="P9" i="5"/>
  <c r="N9" i="5"/>
  <c r="L9" i="5"/>
  <c r="J9" i="5"/>
  <c r="H9" i="5"/>
  <c r="F9" i="5"/>
  <c r="D9" i="5"/>
  <c r="W8" i="5"/>
  <c r="P8" i="5" s="1"/>
  <c r="H8" i="5"/>
  <c r="Y7" i="5"/>
  <c r="U7" i="5"/>
  <c r="M7" i="5"/>
  <c r="E7" i="5"/>
  <c r="O6" i="4"/>
  <c r="N6" i="4"/>
  <c r="N7" i="4" s="1"/>
  <c r="M6" i="4"/>
  <c r="M7" i="4" s="1"/>
  <c r="L6" i="4"/>
  <c r="L7" i="4" s="1"/>
  <c r="K6" i="4"/>
  <c r="K7" i="4" s="1"/>
  <c r="J6" i="4"/>
  <c r="J7" i="4" s="1"/>
  <c r="I6" i="4"/>
  <c r="I7" i="4" s="1"/>
  <c r="H6" i="4"/>
  <c r="H7" i="4" s="1"/>
  <c r="G6" i="4"/>
  <c r="G7" i="4" s="1"/>
  <c r="F6" i="4"/>
  <c r="F7" i="4" s="1"/>
  <c r="E6" i="4"/>
  <c r="E7" i="4" s="1"/>
  <c r="D6" i="4"/>
  <c r="D7" i="4" s="1"/>
  <c r="C6" i="4"/>
  <c r="C7" i="4" s="1"/>
  <c r="C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C19" i="1"/>
  <c r="AD19" i="1"/>
  <c r="AC20" i="1"/>
  <c r="AD20" i="1"/>
  <c r="AC21" i="1"/>
  <c r="AD21" i="1"/>
  <c r="AC22" i="1"/>
  <c r="AD22" i="1"/>
  <c r="AC23" i="1"/>
  <c r="AD23" i="1"/>
  <c r="AC24" i="1"/>
  <c r="AD24" i="1"/>
  <c r="AC25" i="1"/>
  <c r="AD25" i="1"/>
  <c r="AC26" i="1"/>
  <c r="AD26" i="1"/>
  <c r="AC27" i="1"/>
  <c r="AD27" i="1"/>
  <c r="AC28" i="1"/>
  <c r="AD28" i="1"/>
  <c r="AC29" i="1"/>
  <c r="AD29" i="1"/>
  <c r="AC30" i="1"/>
  <c r="AD30" i="1"/>
  <c r="AC31" i="1"/>
  <c r="AD31" i="1"/>
  <c r="AC32" i="1"/>
  <c r="AD32" i="1"/>
  <c r="AC33" i="1"/>
  <c r="AD33" i="1"/>
  <c r="AC34" i="1"/>
  <c r="AD34" i="1"/>
  <c r="AC35" i="1"/>
  <c r="AD35" i="1"/>
  <c r="AC36" i="1"/>
  <c r="AD36" i="1"/>
  <c r="AC37" i="1"/>
  <c r="AD37" i="1"/>
  <c r="AC38" i="1"/>
  <c r="AD38" i="1"/>
  <c r="AC39" i="1"/>
  <c r="AD39" i="1"/>
  <c r="AC40" i="1"/>
  <c r="AD40" i="1"/>
  <c r="AC41" i="1"/>
  <c r="AD41" i="1"/>
  <c r="AC42" i="1"/>
  <c r="AD42" i="1"/>
  <c r="AC43" i="1"/>
  <c r="AD43" i="1"/>
  <c r="AC44" i="1"/>
  <c r="AD44" i="1"/>
  <c r="AC45" i="1"/>
  <c r="AD45" i="1"/>
  <c r="AC46" i="1"/>
  <c r="AD46" i="1"/>
  <c r="AC47" i="1"/>
  <c r="AD47" i="1"/>
  <c r="AC48" i="1"/>
  <c r="AD48" i="1"/>
  <c r="AC49" i="1"/>
  <c r="AD49" i="1"/>
  <c r="AC50" i="1"/>
  <c r="AD50" i="1"/>
  <c r="AC51" i="1"/>
  <c r="AD51" i="1"/>
  <c r="AC52" i="1"/>
  <c r="AD52" i="1"/>
  <c r="AC53" i="1"/>
  <c r="AD53" i="1"/>
  <c r="AC54" i="1"/>
  <c r="AD54" i="1"/>
  <c r="AC55" i="1"/>
  <c r="AD55" i="1"/>
  <c r="AC56" i="1"/>
  <c r="AD56" i="1"/>
  <c r="AC57" i="1"/>
  <c r="AD57" i="1"/>
  <c r="AC58" i="1"/>
  <c r="AD58" i="1"/>
  <c r="AC59" i="1"/>
  <c r="AD59" i="1"/>
  <c r="AC60" i="1"/>
  <c r="AD60" i="1"/>
  <c r="AC61" i="1"/>
  <c r="AD61" i="1"/>
  <c r="AC62" i="1"/>
  <c r="AD62" i="1"/>
  <c r="AC63" i="1"/>
  <c r="AD63" i="1"/>
  <c r="AC64" i="1"/>
  <c r="AD64" i="1"/>
  <c r="AC65" i="1"/>
  <c r="AD65" i="1"/>
  <c r="AC66" i="1"/>
  <c r="AD66" i="1"/>
  <c r="AC67" i="1"/>
  <c r="AD67" i="1"/>
  <c r="AC68" i="1"/>
  <c r="AD68" i="1"/>
  <c r="AC69" i="1"/>
  <c r="AD69" i="1"/>
  <c r="AC70" i="1"/>
  <c r="AD70" i="1"/>
  <c r="AC71" i="1"/>
  <c r="AD71" i="1"/>
  <c r="AC72" i="1"/>
  <c r="AD72" i="1"/>
  <c r="AC73" i="1"/>
  <c r="AD73" i="1"/>
  <c r="AC74" i="1"/>
  <c r="AD74" i="1"/>
  <c r="AC75" i="1"/>
  <c r="AD75" i="1"/>
  <c r="AC76" i="1"/>
  <c r="AD76" i="1"/>
  <c r="AC77" i="1"/>
  <c r="AD77" i="1"/>
  <c r="AC78" i="1"/>
  <c r="AD78" i="1"/>
  <c r="AC79" i="1"/>
  <c r="AD79" i="1"/>
  <c r="AC80" i="1"/>
  <c r="AD80" i="1"/>
  <c r="AC81" i="1"/>
  <c r="AD81" i="1"/>
  <c r="AC82" i="1"/>
  <c r="AD82" i="1"/>
  <c r="AC83" i="1"/>
  <c r="AD83" i="1"/>
  <c r="AC84" i="1"/>
  <c r="AD84" i="1"/>
  <c r="AC85" i="1"/>
  <c r="AD85" i="1"/>
  <c r="AC86" i="1"/>
  <c r="AD86" i="1"/>
  <c r="AC87" i="1"/>
  <c r="AD87" i="1"/>
  <c r="AC88" i="1"/>
  <c r="AD88" i="1"/>
  <c r="AC89" i="1"/>
  <c r="AD89" i="1"/>
  <c r="AC90" i="1"/>
  <c r="AD90" i="1"/>
  <c r="AC91" i="1"/>
  <c r="AD91" i="1"/>
  <c r="AC92" i="1"/>
  <c r="AD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V8" i="5"/>
  <c r="R8" i="5"/>
  <c r="N8" i="5"/>
  <c r="J8" i="5"/>
  <c r="F8" i="5"/>
  <c r="V12" i="5"/>
  <c r="R12" i="5"/>
  <c r="N12" i="5"/>
  <c r="J12" i="5"/>
  <c r="F12" i="5"/>
  <c r="V23" i="5"/>
  <c r="R23" i="5"/>
  <c r="N23" i="5"/>
  <c r="J23" i="5"/>
  <c r="F23" i="5"/>
  <c r="W25" i="5"/>
  <c r="L25" i="5" s="1"/>
  <c r="D26" i="5"/>
  <c r="T26" i="5"/>
  <c r="W26" i="5"/>
  <c r="L26" i="5" s="1"/>
  <c r="H26" i="5"/>
  <c r="W27" i="5"/>
  <c r="L27" i="5" s="1"/>
  <c r="V34" i="5"/>
  <c r="R34" i="5"/>
  <c r="N34" i="5"/>
  <c r="J34" i="5"/>
  <c r="F34" i="5"/>
  <c r="V38" i="5"/>
  <c r="R38" i="5"/>
  <c r="N38" i="5"/>
  <c r="J38" i="5"/>
  <c r="F38" i="5"/>
  <c r="V46" i="5"/>
  <c r="R46" i="5"/>
  <c r="N46" i="5"/>
  <c r="J46" i="5"/>
  <c r="F46" i="5"/>
  <c r="C7" i="5"/>
  <c r="G7" i="5"/>
  <c r="K7" i="5"/>
  <c r="O7" i="5"/>
  <c r="S7" i="5"/>
  <c r="D8" i="5"/>
  <c r="L8" i="5"/>
  <c r="T8" i="5"/>
  <c r="V10" i="5"/>
  <c r="R10" i="5"/>
  <c r="N10" i="5"/>
  <c r="J10" i="5"/>
  <c r="F10" i="5"/>
  <c r="D12" i="5"/>
  <c r="L12" i="5"/>
  <c r="T12" i="5"/>
  <c r="V14" i="5"/>
  <c r="R14" i="5"/>
  <c r="N14" i="5"/>
  <c r="J14" i="5"/>
  <c r="F14" i="5"/>
  <c r="D15" i="5"/>
  <c r="F15" i="5"/>
  <c r="H15" i="5"/>
  <c r="J15" i="5"/>
  <c r="L15" i="5"/>
  <c r="N15" i="5"/>
  <c r="P15" i="5"/>
  <c r="R15" i="5"/>
  <c r="T15" i="5"/>
  <c r="V17" i="5"/>
  <c r="R17" i="5"/>
  <c r="N17" i="5"/>
  <c r="J17" i="5"/>
  <c r="F17" i="5"/>
  <c r="V20" i="5"/>
  <c r="R20" i="5"/>
  <c r="N20" i="5"/>
  <c r="J20" i="5"/>
  <c r="F20" i="5"/>
  <c r="W22" i="5"/>
  <c r="N22" i="5" s="1"/>
  <c r="D23" i="5"/>
  <c r="L23" i="5"/>
  <c r="T23" i="5"/>
  <c r="J25" i="5"/>
  <c r="R25" i="5"/>
  <c r="F26" i="5"/>
  <c r="J26" i="5"/>
  <c r="N26" i="5"/>
  <c r="R26" i="5"/>
  <c r="V26" i="5"/>
  <c r="J27" i="5"/>
  <c r="R27" i="5"/>
  <c r="V29" i="5"/>
  <c r="R29" i="5"/>
  <c r="N29" i="5"/>
  <c r="J29" i="5"/>
  <c r="F29" i="5"/>
  <c r="W31" i="5"/>
  <c r="J31" i="5"/>
  <c r="W32" i="5"/>
  <c r="F32" i="5"/>
  <c r="W33" i="5"/>
  <c r="J33" i="5"/>
  <c r="D34" i="5"/>
  <c r="L34" i="5"/>
  <c r="T34" i="5"/>
  <c r="V36" i="5"/>
  <c r="R36" i="5"/>
  <c r="N36" i="5"/>
  <c r="J36" i="5"/>
  <c r="F36" i="5"/>
  <c r="D38" i="5"/>
  <c r="L38" i="5"/>
  <c r="T38" i="5"/>
  <c r="V40" i="5"/>
  <c r="R40" i="5"/>
  <c r="N40" i="5"/>
  <c r="J40" i="5"/>
  <c r="F40" i="5"/>
  <c r="D41" i="5"/>
  <c r="F41" i="5"/>
  <c r="H41" i="5"/>
  <c r="J41" i="5"/>
  <c r="L41" i="5"/>
  <c r="N41" i="5"/>
  <c r="P41" i="5"/>
  <c r="R41" i="5"/>
  <c r="T41" i="5"/>
  <c r="V43" i="5"/>
  <c r="R43" i="5"/>
  <c r="N43" i="5"/>
  <c r="J43" i="5"/>
  <c r="F43" i="5"/>
  <c r="W45" i="5"/>
  <c r="F45" i="5"/>
  <c r="D46" i="5"/>
  <c r="L46" i="5"/>
  <c r="T46" i="5"/>
  <c r="V48" i="5"/>
  <c r="T48" i="5"/>
  <c r="R48" i="5"/>
  <c r="P48" i="5"/>
  <c r="N48" i="5"/>
  <c r="L48" i="5"/>
  <c r="J48" i="5"/>
  <c r="H48" i="5"/>
  <c r="F48" i="5"/>
  <c r="D48" i="5"/>
  <c r="W50" i="5"/>
  <c r="F50" i="5" s="1"/>
  <c r="W53" i="5"/>
  <c r="N53" i="5" s="1"/>
  <c r="W58" i="5"/>
  <c r="D58" i="5" s="1"/>
  <c r="V61" i="5"/>
  <c r="R61" i="5"/>
  <c r="N61" i="5"/>
  <c r="J61" i="5"/>
  <c r="F61" i="5"/>
  <c r="V64" i="5"/>
  <c r="R64" i="5"/>
  <c r="N64" i="5"/>
  <c r="J64" i="5"/>
  <c r="F64" i="5"/>
  <c r="V67" i="5"/>
  <c r="R67" i="5"/>
  <c r="N67" i="5"/>
  <c r="J67" i="5"/>
  <c r="F67" i="5"/>
  <c r="W72" i="5"/>
  <c r="L72" i="5" s="1"/>
  <c r="V75" i="5"/>
  <c r="R75" i="5"/>
  <c r="N75" i="5"/>
  <c r="J75" i="5"/>
  <c r="F75" i="5"/>
  <c r="V83" i="5"/>
  <c r="R83" i="5"/>
  <c r="N83" i="5"/>
  <c r="J83" i="5"/>
  <c r="F83" i="5"/>
  <c r="V87" i="5"/>
  <c r="R87" i="5"/>
  <c r="N87" i="5"/>
  <c r="J87" i="5"/>
  <c r="F87" i="5"/>
  <c r="V93" i="5"/>
  <c r="R93" i="5"/>
  <c r="N93" i="5"/>
  <c r="J93" i="5"/>
  <c r="F93" i="5"/>
  <c r="V97" i="5"/>
  <c r="R97" i="5"/>
  <c r="N97" i="5"/>
  <c r="J97" i="5"/>
  <c r="F97" i="5"/>
  <c r="V101" i="5"/>
  <c r="R101" i="5"/>
  <c r="N101" i="5"/>
  <c r="J101" i="5"/>
  <c r="F101" i="5"/>
  <c r="V105" i="5"/>
  <c r="R105" i="5"/>
  <c r="N105" i="5"/>
  <c r="J105" i="5"/>
  <c r="F105" i="5"/>
  <c r="T105" i="5"/>
  <c r="L105" i="5"/>
  <c r="D105" i="5"/>
  <c r="W107" i="5"/>
  <c r="D107" i="5" s="1"/>
  <c r="V114" i="5"/>
  <c r="R114" i="5"/>
  <c r="N114" i="5"/>
  <c r="J114" i="5"/>
  <c r="F114" i="5"/>
  <c r="T114" i="5"/>
  <c r="L114" i="5"/>
  <c r="D114" i="5"/>
  <c r="V117" i="5"/>
  <c r="T117" i="5"/>
  <c r="R117" i="5"/>
  <c r="P117" i="5"/>
  <c r="N117" i="5"/>
  <c r="L117" i="5"/>
  <c r="J117" i="5"/>
  <c r="H117" i="5"/>
  <c r="F117" i="5"/>
  <c r="D117" i="5"/>
  <c r="W119" i="5"/>
  <c r="D119" i="5" s="1"/>
  <c r="V128" i="5"/>
  <c r="R128" i="5"/>
  <c r="N128" i="5"/>
  <c r="J128" i="5"/>
  <c r="F128" i="5"/>
  <c r="T128" i="5"/>
  <c r="L128" i="5"/>
  <c r="D128" i="5"/>
  <c r="W130" i="5"/>
  <c r="D130" i="5" s="1"/>
  <c r="F51" i="5"/>
  <c r="J51" i="5"/>
  <c r="N51" i="5"/>
  <c r="R51" i="5"/>
  <c r="F54" i="5"/>
  <c r="J54" i="5"/>
  <c r="N54" i="5"/>
  <c r="R54" i="5"/>
  <c r="F56" i="5"/>
  <c r="J56" i="5"/>
  <c r="N56" i="5"/>
  <c r="R56" i="5"/>
  <c r="V59" i="5"/>
  <c r="R59" i="5"/>
  <c r="N59" i="5"/>
  <c r="D61" i="5"/>
  <c r="L61" i="5"/>
  <c r="T61" i="5"/>
  <c r="D64" i="5"/>
  <c r="L64" i="5"/>
  <c r="T64" i="5"/>
  <c r="D67" i="5"/>
  <c r="L67" i="5"/>
  <c r="T67" i="5"/>
  <c r="V69" i="5"/>
  <c r="R69" i="5"/>
  <c r="N69" i="5"/>
  <c r="J69" i="5"/>
  <c r="F69" i="5"/>
  <c r="D70" i="5"/>
  <c r="F70" i="5"/>
  <c r="H70" i="5"/>
  <c r="J70" i="5"/>
  <c r="L70" i="5"/>
  <c r="N70" i="5"/>
  <c r="P70" i="5"/>
  <c r="R70" i="5"/>
  <c r="T70" i="5"/>
  <c r="F72" i="5"/>
  <c r="N72" i="5"/>
  <c r="V72" i="5"/>
  <c r="V73" i="5"/>
  <c r="R73" i="5"/>
  <c r="N73" i="5"/>
  <c r="J73" i="5"/>
  <c r="F73" i="5"/>
  <c r="D75" i="5"/>
  <c r="L75" i="5"/>
  <c r="T75" i="5"/>
  <c r="V77" i="5"/>
  <c r="R77" i="5"/>
  <c r="N77" i="5"/>
  <c r="J77" i="5"/>
  <c r="F77" i="5"/>
  <c r="D78" i="5"/>
  <c r="F78" i="5"/>
  <c r="H78" i="5"/>
  <c r="J78" i="5"/>
  <c r="L78" i="5"/>
  <c r="N78" i="5"/>
  <c r="P78" i="5"/>
  <c r="R78" i="5"/>
  <c r="T78" i="5"/>
  <c r="V79" i="5"/>
  <c r="R79" i="5"/>
  <c r="N79" i="5"/>
  <c r="J79" i="5"/>
  <c r="F79" i="5"/>
  <c r="W81" i="5"/>
  <c r="F81" i="5" s="1"/>
  <c r="D83" i="5"/>
  <c r="L83" i="5"/>
  <c r="T83" i="5"/>
  <c r="V85" i="5"/>
  <c r="R85" i="5"/>
  <c r="N85" i="5"/>
  <c r="J85" i="5"/>
  <c r="F85" i="5"/>
  <c r="D87" i="5"/>
  <c r="L87" i="5"/>
  <c r="T87" i="5"/>
  <c r="D89" i="5"/>
  <c r="F89" i="5"/>
  <c r="H89" i="5"/>
  <c r="J89" i="5"/>
  <c r="L89" i="5"/>
  <c r="N89" i="5"/>
  <c r="P89" i="5"/>
  <c r="R89" i="5"/>
  <c r="T89" i="5"/>
  <c r="V91" i="5"/>
  <c r="R91" i="5"/>
  <c r="N91" i="5"/>
  <c r="J91" i="5"/>
  <c r="F91" i="5"/>
  <c r="D93" i="5"/>
  <c r="L93" i="5"/>
  <c r="T93" i="5"/>
  <c r="V95" i="5"/>
  <c r="R95" i="5"/>
  <c r="N95" i="5"/>
  <c r="J95" i="5"/>
  <c r="F95" i="5"/>
  <c r="D97" i="5"/>
  <c r="L97" i="5"/>
  <c r="T97" i="5"/>
  <c r="V99" i="5"/>
  <c r="R99" i="5"/>
  <c r="N99" i="5"/>
  <c r="J99" i="5"/>
  <c r="F99" i="5"/>
  <c r="D101" i="5"/>
  <c r="L101" i="5"/>
  <c r="T101" i="5"/>
  <c r="V102" i="5"/>
  <c r="T102" i="5"/>
  <c r="P102" i="5"/>
  <c r="L102" i="5"/>
  <c r="H102" i="5"/>
  <c r="D102" i="5"/>
  <c r="P105" i="5"/>
  <c r="V110" i="5"/>
  <c r="R110" i="5"/>
  <c r="N110" i="5"/>
  <c r="J110" i="5"/>
  <c r="F110" i="5"/>
  <c r="T110" i="5"/>
  <c r="L110" i="5"/>
  <c r="D110" i="5"/>
  <c r="P114" i="5"/>
  <c r="V122" i="5"/>
  <c r="R122" i="5"/>
  <c r="N122" i="5"/>
  <c r="J122" i="5"/>
  <c r="F122" i="5"/>
  <c r="T122" i="5"/>
  <c r="L122" i="5"/>
  <c r="D122" i="5"/>
  <c r="V125" i="5"/>
  <c r="T125" i="5"/>
  <c r="R125" i="5"/>
  <c r="P125" i="5"/>
  <c r="N125" i="5"/>
  <c r="L125" i="5"/>
  <c r="J125" i="5"/>
  <c r="H125" i="5"/>
  <c r="F125" i="5"/>
  <c r="D125" i="5"/>
  <c r="P128" i="5"/>
  <c r="N107" i="5"/>
  <c r="V108" i="5"/>
  <c r="R108" i="5"/>
  <c r="N108" i="5"/>
  <c r="J108" i="5"/>
  <c r="F108" i="5"/>
  <c r="V112" i="5"/>
  <c r="R112" i="5"/>
  <c r="N112" i="5"/>
  <c r="J112" i="5"/>
  <c r="F112" i="5"/>
  <c r="V116" i="5"/>
  <c r="R116" i="5"/>
  <c r="N116" i="5"/>
  <c r="J116" i="5"/>
  <c r="F116" i="5"/>
  <c r="N119" i="5"/>
  <c r="V120" i="5"/>
  <c r="R120" i="5"/>
  <c r="N120" i="5"/>
  <c r="J120" i="5"/>
  <c r="F120" i="5"/>
  <c r="V124" i="5"/>
  <c r="R124" i="5"/>
  <c r="N124" i="5"/>
  <c r="J124" i="5"/>
  <c r="F124" i="5"/>
  <c r="J130" i="5"/>
  <c r="P81" i="5"/>
  <c r="P130" i="5"/>
  <c r="P119" i="5"/>
  <c r="P107" i="5"/>
  <c r="R81" i="5"/>
  <c r="R58" i="5"/>
  <c r="P50" i="5"/>
  <c r="P45" i="5"/>
  <c r="H45" i="5"/>
  <c r="P33" i="5"/>
  <c r="H33" i="5"/>
  <c r="P32" i="5"/>
  <c r="H32" i="5"/>
  <c r="P31" i="5"/>
  <c r="H31" i="5"/>
  <c r="H58" i="5"/>
  <c r="J50" i="5"/>
  <c r="R45" i="5"/>
  <c r="J45" i="5"/>
  <c r="V33" i="5"/>
  <c r="N33" i="5"/>
  <c r="F33" i="5"/>
  <c r="R32" i="5"/>
  <c r="J32" i="5"/>
  <c r="V31" i="5"/>
  <c r="N31" i="5"/>
  <c r="F31" i="5"/>
  <c r="N130" i="5"/>
  <c r="R119" i="5"/>
  <c r="R107" i="5"/>
  <c r="T81" i="5"/>
  <c r="D81" i="5"/>
  <c r="L130" i="5"/>
  <c r="L119" i="5"/>
  <c r="L107" i="5"/>
  <c r="N81" i="5"/>
  <c r="V58" i="5"/>
  <c r="F58" i="5"/>
  <c r="H53" i="5"/>
  <c r="L50" i="5"/>
  <c r="T45" i="5"/>
  <c r="L45" i="5"/>
  <c r="D45" i="5"/>
  <c r="T33" i="5"/>
  <c r="L33" i="5"/>
  <c r="D33" i="5"/>
  <c r="T32" i="5"/>
  <c r="L32" i="5"/>
  <c r="D32" i="5"/>
  <c r="T31" i="5"/>
  <c r="L31" i="5"/>
  <c r="D31" i="5"/>
  <c r="P22" i="5"/>
  <c r="L58" i="5"/>
  <c r="V50" i="5"/>
  <c r="V45" i="5"/>
  <c r="N45" i="5"/>
  <c r="R33" i="5"/>
  <c r="V32" i="5"/>
  <c r="N32" i="5"/>
  <c r="R31" i="5"/>
  <c r="P27" i="5"/>
  <c r="P26" i="5"/>
  <c r="P25" i="5"/>
  <c r="V18" i="5" l="1"/>
  <c r="J18" i="5"/>
  <c r="D18" i="5"/>
  <c r="H18" i="5"/>
  <c r="L18" i="5"/>
  <c r="P18" i="5"/>
  <c r="T18" i="5"/>
  <c r="F18" i="5"/>
  <c r="N18" i="5"/>
  <c r="R18" i="5"/>
  <c r="L53" i="5"/>
  <c r="R22" i="5"/>
  <c r="N50" i="5"/>
  <c r="R53" i="5"/>
  <c r="T58" i="5"/>
  <c r="H22" i="5"/>
  <c r="D50" i="5"/>
  <c r="T50" i="5"/>
  <c r="P53" i="5"/>
  <c r="N58" i="5"/>
  <c r="P72" i="5"/>
  <c r="V81" i="5"/>
  <c r="T107" i="5"/>
  <c r="T119" i="5"/>
  <c r="T130" i="5"/>
  <c r="L81" i="5"/>
  <c r="J107" i="5"/>
  <c r="J119" i="5"/>
  <c r="F130" i="5"/>
  <c r="V130" i="5"/>
  <c r="R50" i="5"/>
  <c r="P58" i="5"/>
  <c r="H50" i="5"/>
  <c r="J58" i="5"/>
  <c r="J81" i="5"/>
  <c r="H107" i="5"/>
  <c r="H119" i="5"/>
  <c r="H130" i="5"/>
  <c r="H81" i="5"/>
  <c r="R130" i="5"/>
  <c r="V119" i="5"/>
  <c r="F119" i="5"/>
  <c r="V107" i="5"/>
  <c r="F107" i="5"/>
  <c r="R72" i="5"/>
  <c r="J72" i="5"/>
  <c r="H72" i="5"/>
  <c r="T72" i="5"/>
  <c r="D72" i="5"/>
  <c r="J53" i="5"/>
  <c r="T53" i="5"/>
  <c r="D53" i="5"/>
  <c r="V27" i="5"/>
  <c r="N27" i="5"/>
  <c r="F27" i="5"/>
  <c r="V25" i="5"/>
  <c r="N25" i="5"/>
  <c r="F25" i="5"/>
  <c r="J22" i="5"/>
  <c r="T22" i="5"/>
  <c r="D22" i="5"/>
  <c r="V53" i="5"/>
  <c r="F53" i="5"/>
  <c r="H27" i="5"/>
  <c r="T27" i="5"/>
  <c r="D27" i="5"/>
  <c r="H25" i="5"/>
  <c r="T25" i="5"/>
  <c r="D25" i="5"/>
  <c r="V22" i="5"/>
  <c r="F22" i="5"/>
  <c r="F11" i="5"/>
  <c r="J11" i="5"/>
  <c r="N11" i="5"/>
  <c r="R11" i="5"/>
  <c r="F13" i="5"/>
  <c r="J13" i="5"/>
  <c r="N13" i="5"/>
  <c r="R13" i="5"/>
  <c r="D14" i="5"/>
  <c r="L14" i="5"/>
  <c r="F21" i="5"/>
  <c r="J21" i="5"/>
  <c r="N21" i="5"/>
  <c r="R21" i="5"/>
  <c r="Z7" i="5"/>
  <c r="F28" i="5"/>
  <c r="J28" i="5"/>
  <c r="N28" i="5"/>
  <c r="R28" i="5"/>
  <c r="D29" i="5"/>
  <c r="L29" i="5"/>
  <c r="F35" i="5"/>
  <c r="J35" i="5"/>
  <c r="N35" i="5"/>
  <c r="R35" i="5"/>
  <c r="D36" i="5"/>
  <c r="L36" i="5"/>
  <c r="V39" i="5"/>
  <c r="R39" i="5"/>
  <c r="N39" i="5"/>
  <c r="J39" i="5"/>
  <c r="V41" i="5"/>
  <c r="V44" i="5"/>
  <c r="R44" i="5"/>
  <c r="N44" i="5"/>
  <c r="J44" i="5"/>
  <c r="F44" i="5"/>
  <c r="H46" i="5"/>
  <c r="W47" i="5"/>
  <c r="V49" i="5"/>
  <c r="R49" i="5"/>
  <c r="N49" i="5"/>
  <c r="J49" i="5"/>
  <c r="F49" i="5"/>
  <c r="D51" i="5"/>
  <c r="V55" i="5"/>
  <c r="R55" i="5"/>
  <c r="N55" i="5"/>
  <c r="J55" i="5"/>
  <c r="F55" i="5"/>
  <c r="D57" i="5"/>
  <c r="L57" i="5"/>
  <c r="V60" i="5"/>
  <c r="R60" i="5"/>
  <c r="N60" i="5"/>
  <c r="J60" i="5"/>
  <c r="F60" i="5"/>
  <c r="D62" i="5"/>
  <c r="F62" i="5"/>
  <c r="H62" i="5"/>
  <c r="J62" i="5"/>
  <c r="L62" i="5"/>
  <c r="N62" i="5"/>
  <c r="P62" i="5"/>
  <c r="R62" i="5"/>
  <c r="T62" i="5"/>
  <c r="D63" i="5"/>
  <c r="L63" i="5"/>
  <c r="V66" i="5"/>
  <c r="R66" i="5"/>
  <c r="N66" i="5"/>
  <c r="J66" i="5"/>
  <c r="F66" i="5"/>
  <c r="D68" i="5"/>
  <c r="L68" i="5"/>
  <c r="T69" i="5"/>
  <c r="L69" i="5"/>
  <c r="D69" i="5"/>
  <c r="V71" i="5"/>
  <c r="R71" i="5"/>
  <c r="N71" i="5"/>
  <c r="J71" i="5"/>
  <c r="F71" i="5"/>
  <c r="D74" i="5"/>
  <c r="L74" i="5"/>
  <c r="V76" i="5"/>
  <c r="R76" i="5"/>
  <c r="N76" i="5"/>
  <c r="J76" i="5"/>
  <c r="F76" i="5"/>
  <c r="V78" i="5"/>
  <c r="V82" i="5"/>
  <c r="R82" i="5"/>
  <c r="N82" i="5"/>
  <c r="J82" i="5"/>
  <c r="F82" i="5"/>
  <c r="D84" i="5"/>
  <c r="L84" i="5"/>
  <c r="T85" i="5"/>
  <c r="L85" i="5"/>
  <c r="D85" i="5"/>
  <c r="H87" i="5"/>
  <c r="W88" i="5"/>
  <c r="D88" i="5" s="1"/>
  <c r="L88" i="5"/>
  <c r="T88" i="5"/>
  <c r="V90" i="5"/>
  <c r="R90" i="5"/>
  <c r="N90" i="5"/>
  <c r="J90" i="5"/>
  <c r="F90" i="5"/>
  <c r="D96" i="5"/>
  <c r="L96" i="5"/>
  <c r="V98" i="5"/>
  <c r="R98" i="5"/>
  <c r="N98" i="5"/>
  <c r="J98" i="5"/>
  <c r="F98" i="5"/>
  <c r="D103" i="5"/>
  <c r="F103" i="5"/>
  <c r="H103" i="5"/>
  <c r="J103" i="5"/>
  <c r="L103" i="5"/>
  <c r="N103" i="5"/>
  <c r="P103" i="5"/>
  <c r="R103" i="5"/>
  <c r="T103" i="5"/>
  <c r="D104" i="5"/>
  <c r="L104" i="5"/>
  <c r="D113" i="5"/>
  <c r="L113" i="5"/>
  <c r="D118" i="5"/>
  <c r="L118" i="5"/>
  <c r="V121" i="5"/>
  <c r="R121" i="5"/>
  <c r="N121" i="5"/>
  <c r="J121" i="5"/>
  <c r="F121" i="5"/>
  <c r="D123" i="5"/>
  <c r="L123" i="5"/>
  <c r="T124" i="5"/>
  <c r="L124" i="5"/>
  <c r="D124" i="5"/>
  <c r="D126" i="5"/>
  <c r="W126" i="5"/>
  <c r="H126" i="5"/>
  <c r="L126" i="5"/>
  <c r="P126" i="5"/>
  <c r="T126" i="5"/>
  <c r="D129" i="5"/>
  <c r="L129" i="5"/>
  <c r="BG29" i="7"/>
  <c r="BI29" i="7" s="1"/>
  <c r="BH29" i="7"/>
  <c r="BG132" i="7"/>
  <c r="BI132" i="7" s="1"/>
  <c r="BH132" i="7"/>
  <c r="L22" i="5"/>
  <c r="T40" i="5"/>
  <c r="L40" i="5"/>
  <c r="D40" i="5"/>
  <c r="F47" i="5"/>
  <c r="V51" i="5"/>
  <c r="P51" i="5"/>
  <c r="H51" i="5"/>
  <c r="V57" i="5"/>
  <c r="R57" i="5"/>
  <c r="N57" i="5"/>
  <c r="J57" i="5"/>
  <c r="F57" i="5"/>
  <c r="V63" i="5"/>
  <c r="R63" i="5"/>
  <c r="N63" i="5"/>
  <c r="J63" i="5"/>
  <c r="F63" i="5"/>
  <c r="D65" i="5"/>
  <c r="F65" i="5"/>
  <c r="H65" i="5"/>
  <c r="J65" i="5"/>
  <c r="L65" i="5"/>
  <c r="N65" i="5"/>
  <c r="P65" i="5"/>
  <c r="R65" i="5"/>
  <c r="T65" i="5"/>
  <c r="V68" i="5"/>
  <c r="R68" i="5"/>
  <c r="N68" i="5"/>
  <c r="J68" i="5"/>
  <c r="F68" i="5"/>
  <c r="V70" i="5"/>
  <c r="V74" i="5"/>
  <c r="R74" i="5"/>
  <c r="N74" i="5"/>
  <c r="J74" i="5"/>
  <c r="F74" i="5"/>
  <c r="T77" i="5"/>
  <c r="L77" i="5"/>
  <c r="D77" i="5"/>
  <c r="T79" i="5"/>
  <c r="L79" i="5"/>
  <c r="D79" i="5"/>
  <c r="V84" i="5"/>
  <c r="R84" i="5"/>
  <c r="N84" i="5"/>
  <c r="J84" i="5"/>
  <c r="F84" i="5"/>
  <c r="F88" i="5"/>
  <c r="J88" i="5"/>
  <c r="N88" i="5"/>
  <c r="R88" i="5"/>
  <c r="V88" i="5"/>
  <c r="V89" i="5"/>
  <c r="T91" i="5"/>
  <c r="L91" i="5"/>
  <c r="D91" i="5"/>
  <c r="V96" i="5"/>
  <c r="R96" i="5"/>
  <c r="N96" i="5"/>
  <c r="J96" i="5"/>
  <c r="F96" i="5"/>
  <c r="T99" i="5"/>
  <c r="L99" i="5"/>
  <c r="D99" i="5"/>
  <c r="V104" i="5"/>
  <c r="R104" i="5"/>
  <c r="N104" i="5"/>
  <c r="J104" i="5"/>
  <c r="F104" i="5"/>
  <c r="T108" i="5"/>
  <c r="L108" i="5"/>
  <c r="D108" i="5"/>
  <c r="V113" i="5"/>
  <c r="R113" i="5"/>
  <c r="N113" i="5"/>
  <c r="J113" i="5"/>
  <c r="F113" i="5"/>
  <c r="V118" i="5"/>
  <c r="R118" i="5"/>
  <c r="N118" i="5"/>
  <c r="J118" i="5"/>
  <c r="F118" i="5"/>
  <c r="V123" i="5"/>
  <c r="R123" i="5"/>
  <c r="N123" i="5"/>
  <c r="J123" i="5"/>
  <c r="F123" i="5"/>
  <c r="F126" i="5"/>
  <c r="J126" i="5"/>
  <c r="N126" i="5"/>
  <c r="R126" i="5"/>
  <c r="V126" i="5"/>
  <c r="V129" i="5"/>
  <c r="R129" i="5"/>
  <c r="N129" i="5"/>
  <c r="J129" i="5"/>
  <c r="F129" i="5"/>
  <c r="BI20" i="7"/>
  <c r="BH43" i="7"/>
  <c r="BI33" i="7"/>
  <c r="BG41" i="7"/>
  <c r="BI41" i="7" s="1"/>
  <c r="BH41" i="7"/>
  <c r="BG90" i="7"/>
  <c r="BH90" i="7"/>
  <c r="BG98" i="7"/>
  <c r="BI98" i="7" s="1"/>
  <c r="BH98" i="7"/>
  <c r="BC132" i="7"/>
  <c r="BI25" i="7"/>
  <c r="BG33" i="7"/>
  <c r="BH33" i="7"/>
  <c r="BG53" i="7"/>
  <c r="BH53" i="7"/>
  <c r="BG75" i="7"/>
  <c r="BI75" i="7" s="1"/>
  <c r="BH75" i="7"/>
  <c r="BG96" i="7"/>
  <c r="BI96" i="7" s="1"/>
  <c r="BH96" i="7"/>
  <c r="BG100" i="7"/>
  <c r="BH100" i="7"/>
  <c r="BI101" i="7"/>
  <c r="BI113" i="7"/>
  <c r="BA119" i="7"/>
  <c r="BC119" i="7" s="1"/>
  <c r="BD119" i="7"/>
  <c r="BA116" i="7"/>
  <c r="BC116" i="7" s="1"/>
  <c r="BD116" i="7"/>
  <c r="BA114" i="7"/>
  <c r="BC114" i="7" s="1"/>
  <c r="AE114" i="7"/>
  <c r="AG114" i="7" s="1"/>
  <c r="BD114" i="7"/>
  <c r="BF114" i="7" s="1"/>
  <c r="BH113" i="7"/>
  <c r="BI94" i="7"/>
  <c r="AG63" i="7"/>
  <c r="BI51" i="7"/>
  <c r="BH106" i="7"/>
  <c r="BG106" i="7"/>
  <c r="BI106" i="7" s="1"/>
  <c r="BI120" i="7"/>
  <c r="AG51" i="7"/>
  <c r="BF54" i="7"/>
  <c r="BG61" i="7"/>
  <c r="BI61" i="7" s="1"/>
  <c r="BH61" i="7"/>
  <c r="BI100" i="7"/>
  <c r="BG26" i="7"/>
  <c r="BI26" i="7" s="1"/>
  <c r="BH26" i="7"/>
  <c r="BI28" i="7"/>
  <c r="BI48" i="7"/>
  <c r="BG69" i="7"/>
  <c r="BI69" i="7" s="1"/>
  <c r="BH69" i="7"/>
  <c r="BF130" i="7"/>
  <c r="AF130" i="7"/>
  <c r="BB130" i="7"/>
  <c r="BC130" i="7"/>
  <c r="BB129" i="7"/>
  <c r="BC129" i="7" s="1"/>
  <c r="BE129" i="7"/>
  <c r="BF129" i="7" s="1"/>
  <c r="AE127" i="7"/>
  <c r="AG127" i="7" s="1"/>
  <c r="BD127" i="7"/>
  <c r="BF127" i="7" s="1"/>
  <c r="BB108" i="7"/>
  <c r="AF108" i="7"/>
  <c r="BE108" i="7"/>
  <c r="BI118" i="7"/>
  <c r="BB118" i="7"/>
  <c r="AF118" i="7"/>
  <c r="AG118" i="7" s="1"/>
  <c r="BE112" i="7"/>
  <c r="BI16" i="7"/>
  <c r="BB117" i="7"/>
  <c r="AF117" i="7"/>
  <c r="AG117" i="7" s="1"/>
  <c r="AE112" i="7"/>
  <c r="BB37" i="7"/>
  <c r="AB10" i="7"/>
  <c r="AA133" i="7"/>
  <c r="AZ17" i="7"/>
  <c r="AO17" i="7"/>
  <c r="AH17" i="7"/>
  <c r="AQ17" i="7"/>
  <c r="AX17" i="7"/>
  <c r="AW19" i="7"/>
  <c r="AL19" i="7"/>
  <c r="AX19" i="7"/>
  <c r="AK19" i="7"/>
  <c r="AQ19" i="7"/>
  <c r="AP19" i="7"/>
  <c r="AN19" i="7"/>
  <c r="AY22" i="7"/>
  <c r="AS22" i="7"/>
  <c r="AL22" i="7"/>
  <c r="AX22" i="7"/>
  <c r="AH22" i="7"/>
  <c r="AM22" i="7"/>
  <c r="AT22" i="7"/>
  <c r="AO22" i="7"/>
  <c r="AJ22" i="7"/>
  <c r="AX30" i="7"/>
  <c r="AR30" i="7"/>
  <c r="AL30" i="7"/>
  <c r="AY30" i="7"/>
  <c r="AH30" i="7"/>
  <c r="AM30" i="7"/>
  <c r="AO30" i="7"/>
  <c r="AJ30" i="7"/>
  <c r="AS30" i="7"/>
  <c r="AW30" i="7"/>
  <c r="AY46" i="7"/>
  <c r="AL46" i="7"/>
  <c r="AR46" i="7"/>
  <c r="AX46" i="7"/>
  <c r="AJ46" i="7"/>
  <c r="AQ46" i="7"/>
  <c r="AW46" i="7"/>
  <c r="BE47" i="7"/>
  <c r="BB47" i="7"/>
  <c r="AF47" i="7"/>
  <c r="BG50" i="7"/>
  <c r="BI50" i="7" s="1"/>
  <c r="BH50" i="7"/>
  <c r="AY52" i="7"/>
  <c r="AO52" i="7"/>
  <c r="AT52" i="7"/>
  <c r="AJ52" i="7"/>
  <c r="AQ52" i="7"/>
  <c r="AW52" i="7"/>
  <c r="AF53" i="7"/>
  <c r="BB53" i="7"/>
  <c r="BE53" i="7"/>
  <c r="BE55" i="7"/>
  <c r="AF55" i="7"/>
  <c r="AX56" i="7"/>
  <c r="AR56" i="7"/>
  <c r="AL56" i="7"/>
  <c r="AY56" i="7"/>
  <c r="AO56" i="7"/>
  <c r="AJ56" i="7"/>
  <c r="AQ56" i="7"/>
  <c r="BE77" i="7"/>
  <c r="AF77" i="7"/>
  <c r="BB77" i="7"/>
  <c r="AY78" i="7"/>
  <c r="AO78" i="7"/>
  <c r="AT78" i="7"/>
  <c r="AJ78" i="7"/>
  <c r="AQ78" i="7"/>
  <c r="AW78" i="7"/>
  <c r="AH80" i="7"/>
  <c r="AQ80" i="7"/>
  <c r="BD80" i="7" s="1"/>
  <c r="AW80" i="7"/>
  <c r="AR80" i="7"/>
  <c r="AX80" i="7"/>
  <c r="BG82" i="7"/>
  <c r="BI82" i="7" s="1"/>
  <c r="BH82" i="7"/>
  <c r="AY83" i="7"/>
  <c r="AR83" i="7"/>
  <c r="AL83" i="7"/>
  <c r="AX83" i="7"/>
  <c r="AO83" i="7"/>
  <c r="AW83" i="7"/>
  <c r="AJ83" i="7"/>
  <c r="AQ83" i="7"/>
  <c r="BB86" i="7"/>
  <c r="BE86" i="7"/>
  <c r="AI88" i="7"/>
  <c r="AB88" i="7"/>
  <c r="BA88" i="7"/>
  <c r="BC88" i="7" s="1"/>
  <c r="AE88" i="7"/>
  <c r="AG88" i="7" s="1"/>
  <c r="BD88" i="7"/>
  <c r="BF88" i="7" s="1"/>
  <c r="AB89" i="7"/>
  <c r="AI89" i="7"/>
  <c r="BI89" i="7" s="1"/>
  <c r="AL92" i="7"/>
  <c r="BA92" i="7" s="1"/>
  <c r="AX92" i="7"/>
  <c r="AH92" i="7"/>
  <c r="AM92" i="7"/>
  <c r="AW92" i="7"/>
  <c r="AT92" i="7"/>
  <c r="AS95" i="7"/>
  <c r="AY95" i="7"/>
  <c r="AR95" i="7"/>
  <c r="AX95" i="7"/>
  <c r="AL95" i="7"/>
  <c r="AW95" i="7"/>
  <c r="AL97" i="7"/>
  <c r="AX97" i="7"/>
  <c r="AO97" i="7"/>
  <c r="AJ97" i="7"/>
  <c r="AQ97" i="7"/>
  <c r="AY97" i="7"/>
  <c r="AY109" i="7"/>
  <c r="AS109" i="7"/>
  <c r="AL109" i="7"/>
  <c r="AT109" i="7"/>
  <c r="BB110" i="7"/>
  <c r="BE110" i="7"/>
  <c r="AB111" i="7"/>
  <c r="AI111" i="7"/>
  <c r="BE119" i="7"/>
  <c r="AF119" i="7"/>
  <c r="BH87" i="7"/>
  <c r="BH38" i="7"/>
  <c r="BD14" i="7"/>
  <c r="BF14" i="7" s="1"/>
  <c r="AE14" i="7"/>
  <c r="AG14" i="7" s="1"/>
  <c r="AF11" i="7"/>
  <c r="AG11" i="7" s="1"/>
  <c r="BA38" i="7"/>
  <c r="BC38" i="7" s="1"/>
  <c r="BA44" i="7"/>
  <c r="BC44" i="7" s="1"/>
  <c r="AE45" i="7"/>
  <c r="AG45" i="7" s="1"/>
  <c r="AI47" i="7"/>
  <c r="BI47" i="7" s="1"/>
  <c r="BA48" i="7"/>
  <c r="BC48" i="7" s="1"/>
  <c r="BB51" i="7"/>
  <c r="BC51" i="7" s="1"/>
  <c r="AI53" i="7"/>
  <c r="BI53" i="7" s="1"/>
  <c r="BE57" i="7"/>
  <c r="AF60" i="7"/>
  <c r="BE63" i="7"/>
  <c r="BF63" i="7" s="1"/>
  <c r="BA80" i="7"/>
  <c r="BA91" i="7"/>
  <c r="BC91" i="7" s="1"/>
  <c r="BE96" i="7"/>
  <c r="AI108" i="7"/>
  <c r="BI108" i="7" s="1"/>
  <c r="AF112" i="7"/>
  <c r="BE116" i="7"/>
  <c r="BE18" i="7"/>
  <c r="BF18" i="7" s="1"/>
  <c r="BD32" i="7"/>
  <c r="BF32" i="7" s="1"/>
  <c r="BH42" i="7"/>
  <c r="BB55" i="7"/>
  <c r="AF58" i="7"/>
  <c r="BB94" i="7"/>
  <c r="BC94" i="7" s="1"/>
  <c r="BE117" i="7"/>
  <c r="BA117" i="7"/>
  <c r="BC117" i="7" s="1"/>
  <c r="BE123" i="7"/>
  <c r="AF123" i="7"/>
  <c r="AG123" i="7" s="1"/>
  <c r="BB121" i="7"/>
  <c r="BE121" i="7"/>
  <c r="BF121" i="7" s="1"/>
  <c r="BA121" i="7"/>
  <c r="BC121" i="7" s="1"/>
  <c r="BD122" i="7"/>
  <c r="BF122" i="7" s="1"/>
  <c r="AR109" i="7"/>
  <c r="AF111" i="7"/>
  <c r="AQ109" i="7"/>
  <c r="AE108" i="7"/>
  <c r="AG108" i="7" s="1"/>
  <c r="BA108" i="7"/>
  <c r="BC108" i="7" s="1"/>
  <c r="AE106" i="7"/>
  <c r="AG106" i="7" s="1"/>
  <c r="AS97" i="7"/>
  <c r="AE96" i="7"/>
  <c r="AG96" i="7" s="1"/>
  <c r="AH95" i="7"/>
  <c r="AE93" i="7"/>
  <c r="AG93" i="7" s="1"/>
  <c r="BE102" i="7"/>
  <c r="AF102" i="7"/>
  <c r="AG102" i="7" s="1"/>
  <c r="BB101" i="7"/>
  <c r="BE101" i="7"/>
  <c r="AF99" i="7"/>
  <c r="AG99" i="7" s="1"/>
  <c r="AM97" i="7"/>
  <c r="AT95" i="7"/>
  <c r="AQ92" i="7"/>
  <c r="BD92" i="7" s="1"/>
  <c r="BB91" i="7"/>
  <c r="AF91" i="7"/>
  <c r="AG91" i="7" s="1"/>
  <c r="BB90" i="7"/>
  <c r="AI90" i="7"/>
  <c r="BI90" i="7" s="1"/>
  <c r="AU80" i="7"/>
  <c r="AS78" i="7"/>
  <c r="AH78" i="7"/>
  <c r="BA74" i="7"/>
  <c r="BC74" i="7" s="1"/>
  <c r="AE74" i="7"/>
  <c r="AG74" i="7" s="1"/>
  <c r="BE73" i="7"/>
  <c r="BB73" i="7"/>
  <c r="AE66" i="7"/>
  <c r="AG66" i="7" s="1"/>
  <c r="AW56" i="7"/>
  <c r="AM56" i="7"/>
  <c r="AM83" i="7"/>
  <c r="AT80" i="7"/>
  <c r="BB79" i="7"/>
  <c r="AR78" i="7"/>
  <c r="BA75" i="7"/>
  <c r="BC75" i="7" s="1"/>
  <c r="BI72" i="7"/>
  <c r="BD71" i="7"/>
  <c r="BF71" i="7" s="1"/>
  <c r="BA57" i="7"/>
  <c r="BC57" i="7" s="1"/>
  <c r="AE57" i="7"/>
  <c r="AG57" i="7" s="1"/>
  <c r="AM52" i="7"/>
  <c r="AS46" i="7"/>
  <c r="AH46" i="7"/>
  <c r="BA60" i="7"/>
  <c r="BC60" i="7" s="1"/>
  <c r="AE60" i="7"/>
  <c r="AG60" i="7" s="1"/>
  <c r="BD60" i="7"/>
  <c r="BF60" i="7" s="1"/>
  <c r="BG60" i="7" s="1"/>
  <c r="BI60" i="7" s="1"/>
  <c r="AR52" i="7"/>
  <c r="BA50" i="7"/>
  <c r="BC50" i="7" s="1"/>
  <c r="AO46" i="7"/>
  <c r="AL17" i="7"/>
  <c r="BI8" i="7"/>
  <c r="AX9" i="7"/>
  <c r="AR9" i="7"/>
  <c r="AL9" i="7"/>
  <c r="AY9" i="7"/>
  <c r="AJ9" i="7"/>
  <c r="AQ9" i="7"/>
  <c r="AO9" i="7"/>
  <c r="AM9" i="7"/>
  <c r="AW9" i="7"/>
  <c r="BG12" i="7"/>
  <c r="BH12" i="7"/>
  <c r="AF12" i="7"/>
  <c r="BB12" i="7"/>
  <c r="BE12" i="7"/>
  <c r="AZ13" i="7"/>
  <c r="AH13" i="7"/>
  <c r="AQ13" i="7"/>
  <c r="AZ19" i="7"/>
  <c r="AY21" i="7"/>
  <c r="AS21" i="7"/>
  <c r="AL21" i="7"/>
  <c r="AX21" i="7"/>
  <c r="AJ21" i="7"/>
  <c r="AQ21" i="7"/>
  <c r="AO21" i="7"/>
  <c r="AH21" i="7"/>
  <c r="AT21" i="7"/>
  <c r="AW22" i="7"/>
  <c r="BG23" i="7"/>
  <c r="BI23" i="7" s="1"/>
  <c r="BH23" i="7"/>
  <c r="AE23" i="7"/>
  <c r="AG23" i="7" s="1"/>
  <c r="BA23" i="7"/>
  <c r="BC23" i="7" s="1"/>
  <c r="AZ24" i="7"/>
  <c r="AL24" i="7"/>
  <c r="AT24" i="7"/>
  <c r="AF25" i="7"/>
  <c r="BE25" i="7"/>
  <c r="BB25" i="7"/>
  <c r="AX27" i="7"/>
  <c r="AR27" i="7"/>
  <c r="AL27" i="7"/>
  <c r="AY27" i="7"/>
  <c r="AJ27" i="7"/>
  <c r="AQ27" i="7"/>
  <c r="AO27" i="7"/>
  <c r="AM27" i="7"/>
  <c r="AW27" i="7"/>
  <c r="AT30" i="7"/>
  <c r="AQ34" i="7"/>
  <c r="AT34" i="7"/>
  <c r="AH34" i="7"/>
  <c r="AY34" i="7"/>
  <c r="AO35" i="7"/>
  <c r="AY35" i="7"/>
  <c r="AH35" i="7"/>
  <c r="AZ35" i="7"/>
  <c r="BE36" i="7"/>
  <c r="AZ44" i="7"/>
  <c r="AH44" i="7"/>
  <c r="AR44" i="7"/>
  <c r="AY44" i="7"/>
  <c r="AQ44" i="7"/>
  <c r="AE44" i="7" s="1"/>
  <c r="AX44" i="7"/>
  <c r="AT56" i="7"/>
  <c r="AE58" i="7"/>
  <c r="AG58" i="7" s="1"/>
  <c r="BA58" i="7"/>
  <c r="BC58" i="7" s="1"/>
  <c r="AF59" i="7"/>
  <c r="BE59" i="7"/>
  <c r="BB64" i="7"/>
  <c r="BE64" i="7"/>
  <c r="AX65" i="7"/>
  <c r="AJ65" i="7"/>
  <c r="AQ65" i="7"/>
  <c r="AW65" i="7"/>
  <c r="AL65" i="7"/>
  <c r="AR65" i="7"/>
  <c r="AF66" i="7"/>
  <c r="BE66" i="7"/>
  <c r="AF72" i="7"/>
  <c r="BE72" i="7"/>
  <c r="AW76" i="7"/>
  <c r="AQ76" i="7"/>
  <c r="AL76" i="7"/>
  <c r="AX76" i="7"/>
  <c r="AZ76" i="7"/>
  <c r="AO76" i="7"/>
  <c r="AS76" i="7"/>
  <c r="AH76" i="7"/>
  <c r="AN76" i="7"/>
  <c r="AR76" i="7"/>
  <c r="AI10" i="7"/>
  <c r="BI10" i="7" s="1"/>
  <c r="BD10" i="7"/>
  <c r="BF10" i="7" s="1"/>
  <c r="BG10" i="7" s="1"/>
  <c r="AB12" i="7"/>
  <c r="AI12" i="7"/>
  <c r="BI12" i="7" s="1"/>
  <c r="AY13" i="7"/>
  <c r="AL13" i="7"/>
  <c r="AX13" i="7"/>
  <c r="AW15" i="7"/>
  <c r="AL15" i="7"/>
  <c r="AX15" i="7"/>
  <c r="AH15" i="7"/>
  <c r="AM15" i="7"/>
  <c r="AY15" i="7"/>
  <c r="AY17" i="7"/>
  <c r="AR17" i="7"/>
  <c r="AY24" i="7"/>
  <c r="AO24" i="7"/>
  <c r="AW24" i="7"/>
  <c r="AX28" i="7"/>
  <c r="AQ28" i="7"/>
  <c r="AE28" i="7" s="1"/>
  <c r="AY28" i="7"/>
  <c r="AZ34" i="7"/>
  <c r="AX45" i="7"/>
  <c r="AR45" i="7"/>
  <c r="AL45" i="7"/>
  <c r="BA45" i="7" s="1"/>
  <c r="AY45" i="7"/>
  <c r="AT45" i="7"/>
  <c r="BB50" i="7"/>
  <c r="AF50" i="7"/>
  <c r="AZ61" i="7"/>
  <c r="AQ61" i="7"/>
  <c r="AL61" i="7"/>
  <c r="AX61" i="7"/>
  <c r="AF61" i="7" s="1"/>
  <c r="AW61" i="7"/>
  <c r="AX62" i="7"/>
  <c r="AR62" i="7"/>
  <c r="AL62" i="7"/>
  <c r="AE62" i="7" s="1"/>
  <c r="AY62" i="7"/>
  <c r="AT62" i="7"/>
  <c r="BD64" i="7"/>
  <c r="BF64" i="7" s="1"/>
  <c r="BG64" i="7" s="1"/>
  <c r="BI64" i="7" s="1"/>
  <c r="BA64" i="7"/>
  <c r="BC64" i="7" s="1"/>
  <c r="AE64" i="7"/>
  <c r="AG64" i="7" s="1"/>
  <c r="AE67" i="7"/>
  <c r="AG67" i="7" s="1"/>
  <c r="BD67" i="7"/>
  <c r="BF67" i="7" s="1"/>
  <c r="AX70" i="7"/>
  <c r="AR70" i="7"/>
  <c r="AL70" i="7"/>
  <c r="AY70" i="7"/>
  <c r="AO70" i="7"/>
  <c r="BB84" i="7"/>
  <c r="AF84" i="7"/>
  <c r="BA86" i="7"/>
  <c r="BC86" i="7" s="1"/>
  <c r="BD86" i="7"/>
  <c r="BF86" i="7" s="1"/>
  <c r="AE86" i="7"/>
  <c r="AG86" i="7" s="1"/>
  <c r="AO25" i="7"/>
  <c r="AE25" i="7" s="1"/>
  <c r="AG25" i="7" s="1"/>
  <c r="AO33" i="7"/>
  <c r="AE33" i="7" s="1"/>
  <c r="AG33" i="7" s="1"/>
  <c r="AO36" i="7"/>
  <c r="AO37" i="7"/>
  <c r="AE37" i="7" s="1"/>
  <c r="AG37" i="7" s="1"/>
  <c r="AO47" i="7"/>
  <c r="AE47" i="7" s="1"/>
  <c r="AG47" i="7" s="1"/>
  <c r="AQ49" i="7"/>
  <c r="BA49" i="7" s="1"/>
  <c r="BC49" i="7" s="1"/>
  <c r="AP53" i="7"/>
  <c r="AE53" i="7" s="1"/>
  <c r="AG53" i="7" s="1"/>
  <c r="AO55" i="7"/>
  <c r="BA55" i="7" s="1"/>
  <c r="BC55" i="7" s="1"/>
  <c r="AO59" i="7"/>
  <c r="AE59" i="7" s="1"/>
  <c r="AG59" i="7" s="1"/>
  <c r="AF67" i="7"/>
  <c r="BB67" i="7"/>
  <c r="AO66" i="7"/>
  <c r="BD66" i="7" s="1"/>
  <c r="BF66" i="7" s="1"/>
  <c r="AQ69" i="7"/>
  <c r="AE69" i="7" s="1"/>
  <c r="AG69" i="7" s="1"/>
  <c r="AQ73" i="7"/>
  <c r="AO77" i="7"/>
  <c r="AE77" i="7" s="1"/>
  <c r="AG77" i="7" s="1"/>
  <c r="AO81" i="7"/>
  <c r="BD81" i="7" s="1"/>
  <c r="AT81" i="7"/>
  <c r="AQ85" i="7"/>
  <c r="BD85" i="7" s="1"/>
  <c r="BF85" i="7" s="1"/>
  <c r="AX89" i="7"/>
  <c r="AR89" i="7"/>
  <c r="AO89" i="7"/>
  <c r="AE89" i="7" s="1"/>
  <c r="BD105" i="7"/>
  <c r="BF105" i="7" s="1"/>
  <c r="AZ109" i="7"/>
  <c r="AO104" i="7"/>
  <c r="AO107" i="7"/>
  <c r="BA107" i="7" s="1"/>
  <c r="AT107" i="7"/>
  <c r="AO111" i="7"/>
  <c r="AY115" i="7"/>
  <c r="AL115" i="7"/>
  <c r="AT115" i="7"/>
  <c r="AW124" i="7"/>
  <c r="AX125" i="7"/>
  <c r="AL125" i="7"/>
  <c r="AR125" i="7"/>
  <c r="AF126" i="7"/>
  <c r="AQ115" i="7"/>
  <c r="BH129" i="7" l="1"/>
  <c r="BG129" i="7"/>
  <c r="BI129" i="7" s="1"/>
  <c r="BG85" i="7"/>
  <c r="BI85" i="7" s="1"/>
  <c r="BH85" i="7"/>
  <c r="BH121" i="7"/>
  <c r="BG121" i="7"/>
  <c r="BI121" i="7" s="1"/>
  <c r="BG63" i="7"/>
  <c r="BI63" i="7" s="1"/>
  <c r="BH63" i="7"/>
  <c r="BA125" i="7"/>
  <c r="BC125" i="7" s="1"/>
  <c r="AE125" i="7"/>
  <c r="BD125" i="7"/>
  <c r="BF125" i="7" s="1"/>
  <c r="BA115" i="7"/>
  <c r="BC115" i="7" s="1"/>
  <c r="AE115" i="7"/>
  <c r="BD115" i="7"/>
  <c r="BF115" i="7" s="1"/>
  <c r="BD36" i="7"/>
  <c r="BF36" i="7" s="1"/>
  <c r="BA36" i="7"/>
  <c r="BC36" i="7" s="1"/>
  <c r="BA70" i="7"/>
  <c r="BC70" i="7" s="1"/>
  <c r="AE70" i="7"/>
  <c r="BD70" i="7"/>
  <c r="BF70" i="7" s="1"/>
  <c r="BE28" i="7"/>
  <c r="BB28" i="7"/>
  <c r="AF28" i="7"/>
  <c r="AF17" i="7"/>
  <c r="BB17" i="7"/>
  <c r="BE17" i="7"/>
  <c r="AI15" i="7"/>
  <c r="BD15" i="7"/>
  <c r="AE15" i="7"/>
  <c r="AG15" i="7" s="1"/>
  <c r="BA15" i="7"/>
  <c r="BB13" i="7"/>
  <c r="BE13" i="7"/>
  <c r="AF13" i="7"/>
  <c r="BE76" i="7"/>
  <c r="AF76" i="7"/>
  <c r="BB76" i="7"/>
  <c r="AI76" i="7"/>
  <c r="BI76" i="7" s="1"/>
  <c r="BH76" i="7"/>
  <c r="BB65" i="7"/>
  <c r="BE65" i="7"/>
  <c r="AF65" i="7"/>
  <c r="BA65" i="7"/>
  <c r="BC65" i="7" s="1"/>
  <c r="BD65" i="7"/>
  <c r="AE65" i="7"/>
  <c r="AG65" i="7" s="1"/>
  <c r="BH64" i="7"/>
  <c r="AI44" i="7"/>
  <c r="BI44" i="7" s="1"/>
  <c r="BH44" i="7"/>
  <c r="AI35" i="7"/>
  <c r="BD35" i="7"/>
  <c r="BA35" i="7"/>
  <c r="AI34" i="7"/>
  <c r="BA34" i="7"/>
  <c r="AE34" i="7"/>
  <c r="BD34" i="7"/>
  <c r="AE27" i="7"/>
  <c r="BD27" i="7"/>
  <c r="BF27" i="7" s="1"/>
  <c r="BA27" i="7"/>
  <c r="BC27" i="7" s="1"/>
  <c r="AF24" i="7"/>
  <c r="BD21" i="7"/>
  <c r="BF21" i="7" s="1"/>
  <c r="BG21" i="7" s="1"/>
  <c r="AE21" i="7"/>
  <c r="BA21" i="7"/>
  <c r="BC21" i="7" s="1"/>
  <c r="BD9" i="7"/>
  <c r="BF9" i="7" s="1"/>
  <c r="AE9" i="7"/>
  <c r="BA9" i="7"/>
  <c r="BC9" i="7" s="1"/>
  <c r="BD17" i="7"/>
  <c r="BF17" i="7" s="1"/>
  <c r="BG17" i="7" s="1"/>
  <c r="AE17" i="7"/>
  <c r="AG17" i="7" s="1"/>
  <c r="BA17" i="7"/>
  <c r="BC17" i="7" s="1"/>
  <c r="AI46" i="7"/>
  <c r="BB78" i="7"/>
  <c r="BE78" i="7"/>
  <c r="AF78" i="7"/>
  <c r="BB61" i="7"/>
  <c r="AI78" i="7"/>
  <c r="AI95" i="7"/>
  <c r="BB97" i="7"/>
  <c r="AF97" i="7"/>
  <c r="BE97" i="7"/>
  <c r="BD107" i="7"/>
  <c r="BB109" i="7"/>
  <c r="BE109" i="7"/>
  <c r="AF109" i="7"/>
  <c r="BA81" i="7"/>
  <c r="BH32" i="7"/>
  <c r="BG32" i="7"/>
  <c r="BI32" i="7" s="1"/>
  <c r="BD55" i="7"/>
  <c r="BF55" i="7" s="1"/>
  <c r="BD45" i="7"/>
  <c r="BG14" i="7"/>
  <c r="BI14" i="7" s="1"/>
  <c r="BH14" i="7"/>
  <c r="BH60" i="7"/>
  <c r="BD109" i="7"/>
  <c r="BF109" i="7" s="1"/>
  <c r="AE109" i="7"/>
  <c r="BA109" i="7"/>
  <c r="BC109" i="7" s="1"/>
  <c r="AE95" i="7"/>
  <c r="BD95" i="7"/>
  <c r="BF95" i="7" s="1"/>
  <c r="BG95" i="7" s="1"/>
  <c r="BA95" i="7"/>
  <c r="BC95" i="7" s="1"/>
  <c r="AF95" i="7"/>
  <c r="BE95" i="7"/>
  <c r="BB95" i="7"/>
  <c r="AI92" i="7"/>
  <c r="BB83" i="7"/>
  <c r="BE83" i="7"/>
  <c r="AF83" i="7"/>
  <c r="AI80" i="7"/>
  <c r="BD56" i="7"/>
  <c r="BF56" i="7" s="1"/>
  <c r="BA56" i="7"/>
  <c r="BC56" i="7" s="1"/>
  <c r="AE56" i="7"/>
  <c r="AG56" i="7" s="1"/>
  <c r="AF56" i="7"/>
  <c r="BB56" i="7"/>
  <c r="BE56" i="7"/>
  <c r="BD46" i="7"/>
  <c r="BF46" i="7" s="1"/>
  <c r="BG46" i="7" s="1"/>
  <c r="AE46" i="7"/>
  <c r="AG46" i="7" s="1"/>
  <c r="BA46" i="7"/>
  <c r="AF46" i="7"/>
  <c r="BB46" i="7"/>
  <c r="BE46" i="7"/>
  <c r="AI30" i="7"/>
  <c r="BB22" i="7"/>
  <c r="BE22" i="7"/>
  <c r="AF22" i="7"/>
  <c r="BE19" i="7"/>
  <c r="BB19" i="7"/>
  <c r="AF19" i="7"/>
  <c r="BD49" i="7"/>
  <c r="BF49" i="7" s="1"/>
  <c r="BA85" i="7"/>
  <c r="BC85" i="7" s="1"/>
  <c r="BG127" i="7"/>
  <c r="BI127" i="7" s="1"/>
  <c r="BH127" i="7"/>
  <c r="BH114" i="7"/>
  <c r="BG114" i="7"/>
  <c r="BI114" i="7" s="1"/>
  <c r="BF119" i="7"/>
  <c r="R47" i="5"/>
  <c r="J47" i="5"/>
  <c r="T47" i="5"/>
  <c r="P47" i="5"/>
  <c r="L47" i="5"/>
  <c r="V47" i="5"/>
  <c r="N47" i="5"/>
  <c r="BA111" i="7"/>
  <c r="BC111" i="7" s="1"/>
  <c r="AE111" i="7"/>
  <c r="AG111" i="7" s="1"/>
  <c r="BD111" i="7"/>
  <c r="BF111" i="7" s="1"/>
  <c r="BB81" i="7"/>
  <c r="BE81" i="7"/>
  <c r="BF81" i="7" s="1"/>
  <c r="AF81" i="7"/>
  <c r="BH86" i="7"/>
  <c r="BG86" i="7"/>
  <c r="BI86" i="7" s="1"/>
  <c r="BB125" i="7"/>
  <c r="AF125" i="7"/>
  <c r="BE125" i="7"/>
  <c r="BB115" i="7"/>
  <c r="AF115" i="7"/>
  <c r="BE115" i="7"/>
  <c r="BB107" i="7"/>
  <c r="BC107" i="7" s="1"/>
  <c r="BE107" i="7"/>
  <c r="AF107" i="7"/>
  <c r="BD104" i="7"/>
  <c r="BF104" i="7" s="1"/>
  <c r="BA104" i="7"/>
  <c r="BC104" i="7" s="1"/>
  <c r="AE104" i="7"/>
  <c r="AG104" i="7" s="1"/>
  <c r="BH105" i="7"/>
  <c r="BG105" i="7"/>
  <c r="BI105" i="7" s="1"/>
  <c r="BE89" i="7"/>
  <c r="AF89" i="7"/>
  <c r="AG89" i="7" s="1"/>
  <c r="BB89" i="7"/>
  <c r="BA73" i="7"/>
  <c r="BC73" i="7" s="1"/>
  <c r="BD73" i="7"/>
  <c r="BF73" i="7" s="1"/>
  <c r="BG66" i="7"/>
  <c r="BI66" i="7" s="1"/>
  <c r="BH66" i="7"/>
  <c r="AF70" i="7"/>
  <c r="BB70" i="7"/>
  <c r="BE70" i="7"/>
  <c r="BG67" i="7"/>
  <c r="BI67" i="7" s="1"/>
  <c r="BH67" i="7"/>
  <c r="BE62" i="7"/>
  <c r="BB62" i="7"/>
  <c r="AF62" i="7"/>
  <c r="AG62" i="7" s="1"/>
  <c r="AE61" i="7"/>
  <c r="AG61" i="7" s="1"/>
  <c r="AF45" i="7"/>
  <c r="BE45" i="7"/>
  <c r="BB45" i="7"/>
  <c r="BC45" i="7" s="1"/>
  <c r="AG28" i="7"/>
  <c r="BB15" i="7"/>
  <c r="AF15" i="7"/>
  <c r="BE15" i="7"/>
  <c r="BA13" i="7"/>
  <c r="BC13" i="7" s="1"/>
  <c r="AE13" i="7"/>
  <c r="AG13" i="7" s="1"/>
  <c r="BD13" i="7"/>
  <c r="BF13" i="7" s="1"/>
  <c r="BG13" i="7" s="1"/>
  <c r="BH10" i="7"/>
  <c r="AE76" i="7"/>
  <c r="AG76" i="7" s="1"/>
  <c r="BB44" i="7"/>
  <c r="AF44" i="7"/>
  <c r="AG44" i="7" s="1"/>
  <c r="BE44" i="7"/>
  <c r="BE35" i="7"/>
  <c r="BB35" i="7"/>
  <c r="AF35" i="7"/>
  <c r="BB34" i="7"/>
  <c r="BE34" i="7"/>
  <c r="AF34" i="7"/>
  <c r="AF27" i="7"/>
  <c r="BE27" i="7"/>
  <c r="BB27" i="7"/>
  <c r="BA24" i="7"/>
  <c r="BC24" i="7" s="1"/>
  <c r="AE24" i="7"/>
  <c r="AG24" i="7" s="1"/>
  <c r="BD24" i="7"/>
  <c r="BF24" i="7" s="1"/>
  <c r="AI21" i="7"/>
  <c r="BI21" i="7" s="1"/>
  <c r="BH21" i="7"/>
  <c r="AF21" i="7"/>
  <c r="BB21" i="7"/>
  <c r="BE21" i="7"/>
  <c r="AI13" i="7"/>
  <c r="BI13" i="7" s="1"/>
  <c r="BB9" i="7"/>
  <c r="BE9" i="7"/>
  <c r="AF9" i="7"/>
  <c r="AE36" i="7"/>
  <c r="AG36" i="7" s="1"/>
  <c r="AF52" i="7"/>
  <c r="BE52" i="7"/>
  <c r="BB52" i="7"/>
  <c r="BG71" i="7"/>
  <c r="BI71" i="7" s="1"/>
  <c r="BH71" i="7"/>
  <c r="BE61" i="7"/>
  <c r="BA66" i="7"/>
  <c r="BC66" i="7" s="1"/>
  <c r="AE107" i="7"/>
  <c r="AG107" i="7" s="1"/>
  <c r="BG122" i="7"/>
  <c r="BI122" i="7" s="1"/>
  <c r="BH122" i="7"/>
  <c r="BG18" i="7"/>
  <c r="BI18" i="7" s="1"/>
  <c r="BH18" i="7"/>
  <c r="BE24" i="7"/>
  <c r="AE97" i="7"/>
  <c r="AG97" i="7" s="1"/>
  <c r="BA97" i="7"/>
  <c r="BC97" i="7" s="1"/>
  <c r="BD97" i="7"/>
  <c r="BF97" i="7" s="1"/>
  <c r="BB92" i="7"/>
  <c r="BC92" i="7" s="1"/>
  <c r="BE92" i="7"/>
  <c r="BF92" i="7" s="1"/>
  <c r="AF92" i="7"/>
  <c r="BG88" i="7"/>
  <c r="BH88" i="7"/>
  <c r="BI88" i="7"/>
  <c r="AE83" i="7"/>
  <c r="AG83" i="7" s="1"/>
  <c r="BD83" i="7"/>
  <c r="BF83" i="7" s="1"/>
  <c r="BA83" i="7"/>
  <c r="BC83" i="7" s="1"/>
  <c r="BB80" i="7"/>
  <c r="BC80" i="7" s="1"/>
  <c r="AF80" i="7"/>
  <c r="BE80" i="7"/>
  <c r="BF80" i="7"/>
  <c r="BG80" i="7" s="1"/>
  <c r="BA78" i="7"/>
  <c r="BC78" i="7" s="1"/>
  <c r="AE78" i="7"/>
  <c r="AG78" i="7" s="1"/>
  <c r="BD78" i="7"/>
  <c r="BF78" i="7" s="1"/>
  <c r="BG78" i="7" s="1"/>
  <c r="BA52" i="7"/>
  <c r="BC52" i="7" s="1"/>
  <c r="AE52" i="7"/>
  <c r="AG52" i="7" s="1"/>
  <c r="BD52" i="7"/>
  <c r="BF52" i="7" s="1"/>
  <c r="BA30" i="7"/>
  <c r="AE30" i="7"/>
  <c r="AG30" i="7" s="1"/>
  <c r="BD30" i="7"/>
  <c r="BE30" i="7"/>
  <c r="BB30" i="7"/>
  <c r="AF30" i="7"/>
  <c r="AE22" i="7"/>
  <c r="AG22" i="7" s="1"/>
  <c r="BD22" i="7"/>
  <c r="BF22" i="7" s="1"/>
  <c r="BG22" i="7" s="1"/>
  <c r="BA22" i="7"/>
  <c r="BC22" i="7" s="1"/>
  <c r="AI22" i="7"/>
  <c r="BI22" i="7" s="1"/>
  <c r="BD19" i="7"/>
  <c r="BF19" i="7" s="1"/>
  <c r="AE19" i="7"/>
  <c r="AG19" i="7" s="1"/>
  <c r="BA19" i="7"/>
  <c r="BC19" i="7" s="1"/>
  <c r="AI17" i="7"/>
  <c r="BI17" i="7" s="1"/>
  <c r="BH17" i="7"/>
  <c r="AG112" i="7"/>
  <c r="BB24" i="7"/>
  <c r="BG130" i="7"/>
  <c r="BI130" i="7" s="1"/>
  <c r="BH130" i="7"/>
  <c r="BG54" i="7"/>
  <c r="BI54" i="7" s="1"/>
  <c r="BH54" i="7"/>
  <c r="AE35" i="7"/>
  <c r="AG35" i="7" s="1"/>
  <c r="AE80" i="7"/>
  <c r="AG80" i="7" s="1"/>
  <c r="BF116" i="7"/>
  <c r="P88" i="5"/>
  <c r="H88" i="5"/>
  <c r="H47" i="5"/>
  <c r="D47" i="5"/>
  <c r="W7" i="5"/>
  <c r="BG92" i="7" l="1"/>
  <c r="BH92" i="7"/>
  <c r="BG81" i="7"/>
  <c r="BI81" i="7" s="1"/>
  <c r="BH81" i="7"/>
  <c r="BG19" i="7"/>
  <c r="BI19" i="7" s="1"/>
  <c r="BH19" i="7"/>
  <c r="BG116" i="7"/>
  <c r="BI116" i="7" s="1"/>
  <c r="BH116" i="7"/>
  <c r="BH22" i="7"/>
  <c r="BF30" i="7"/>
  <c r="BC30" i="7"/>
  <c r="BG83" i="7"/>
  <c r="BI83" i="7" s="1"/>
  <c r="BH83" i="7"/>
  <c r="BG97" i="7"/>
  <c r="BI97" i="7" s="1"/>
  <c r="BH97" i="7"/>
  <c r="BH13" i="7"/>
  <c r="BG24" i="7"/>
  <c r="BI24" i="7" s="1"/>
  <c r="BH24" i="7"/>
  <c r="BG73" i="7"/>
  <c r="BI73" i="7" s="1"/>
  <c r="BH73" i="7"/>
  <c r="BH80" i="7"/>
  <c r="BI92" i="7"/>
  <c r="AG95" i="7"/>
  <c r="AG109" i="7"/>
  <c r="BG55" i="7"/>
  <c r="BI55" i="7" s="1"/>
  <c r="BH55" i="7"/>
  <c r="BC81" i="7"/>
  <c r="BF107" i="7"/>
  <c r="BH95" i="7"/>
  <c r="BH78" i="7"/>
  <c r="BH46" i="7"/>
  <c r="AG9" i="7"/>
  <c r="AG27" i="7"/>
  <c r="AG34" i="7"/>
  <c r="BC35" i="7"/>
  <c r="BF65" i="7"/>
  <c r="AG70" i="7"/>
  <c r="BG115" i="7"/>
  <c r="BI115" i="7" s="1"/>
  <c r="BH115" i="7"/>
  <c r="AG125" i="7"/>
  <c r="L7" i="5"/>
  <c r="H7" i="5"/>
  <c r="P7" i="5"/>
  <c r="N7" i="5"/>
  <c r="D7" i="5"/>
  <c r="F7" i="5"/>
  <c r="V7" i="5"/>
  <c r="T7" i="5"/>
  <c r="J7" i="5"/>
  <c r="R7" i="5"/>
  <c r="BG52" i="7"/>
  <c r="BI52" i="7" s="1"/>
  <c r="BH52" i="7"/>
  <c r="BG104" i="7"/>
  <c r="BI104" i="7" s="1"/>
  <c r="BH104" i="7"/>
  <c r="BG111" i="7"/>
  <c r="BI111" i="7" s="1"/>
  <c r="BH111" i="7"/>
  <c r="BG119" i="7"/>
  <c r="BI119" i="7" s="1"/>
  <c r="BH119" i="7"/>
  <c r="BG49" i="7"/>
  <c r="BI49" i="7" s="1"/>
  <c r="BH49" i="7"/>
  <c r="BC46" i="7"/>
  <c r="BG56" i="7"/>
  <c r="BI56" i="7" s="1"/>
  <c r="BH56" i="7"/>
  <c r="BI80" i="7"/>
  <c r="BG109" i="7"/>
  <c r="BI109" i="7" s="1"/>
  <c r="BH109" i="7"/>
  <c r="BF45" i="7"/>
  <c r="BI95" i="7"/>
  <c r="BI78" i="7"/>
  <c r="BI46" i="7"/>
  <c r="BG9" i="7"/>
  <c r="BI9" i="7" s="1"/>
  <c r="BH9" i="7"/>
  <c r="AG21" i="7"/>
  <c r="BG27" i="7"/>
  <c r="BI27" i="7" s="1"/>
  <c r="BH27" i="7"/>
  <c r="BF34" i="7"/>
  <c r="BC34" i="7"/>
  <c r="BF35" i="7"/>
  <c r="BC15" i="7"/>
  <c r="BF15" i="7"/>
  <c r="BG70" i="7"/>
  <c r="BI70" i="7" s="1"/>
  <c r="BH70" i="7"/>
  <c r="BG36" i="7"/>
  <c r="BI36" i="7" s="1"/>
  <c r="BH36" i="7"/>
  <c r="AG115" i="7"/>
  <c r="BG125" i="7"/>
  <c r="BI125" i="7" s="1"/>
  <c r="BH125" i="7"/>
  <c r="BG35" i="7" l="1"/>
  <c r="BI35" i="7" s="1"/>
  <c r="BH35" i="7"/>
  <c r="BG15" i="7"/>
  <c r="BI15" i="7" s="1"/>
  <c r="BH15" i="7"/>
  <c r="BG45" i="7"/>
  <c r="BI45" i="7" s="1"/>
  <c r="BH45" i="7"/>
  <c r="BG107" i="7"/>
  <c r="BI107" i="7" s="1"/>
  <c r="BH107" i="7"/>
  <c r="BG30" i="7"/>
  <c r="BI30" i="7" s="1"/>
  <c r="BH30" i="7"/>
  <c r="BG34" i="7"/>
  <c r="BI34" i="7" s="1"/>
  <c r="BH34" i="7"/>
  <c r="BG65" i="7"/>
  <c r="BI65" i="7" s="1"/>
  <c r="BH65" i="7"/>
</calcChain>
</file>

<file path=xl/comments1.xml><?xml version="1.0" encoding="utf-8"?>
<comments xmlns="http://schemas.openxmlformats.org/spreadsheetml/2006/main">
  <authors>
    <author>Admin</author>
  </authors>
  <commentList>
    <comment ref="AA11" authorId="0" shapeId="0">
      <text>
        <r>
          <rPr>
            <sz val="9"/>
            <color indexed="81"/>
            <rFont val="Tahoma"/>
            <family val="2"/>
          </rPr>
          <t>Suma de los partidos, coaliciones, no registrados y nulos; no incluye los votos anulados por los tribunales</t>
        </r>
      </text>
    </comment>
  </commentList>
</comments>
</file>

<file path=xl/sharedStrings.xml><?xml version="1.0" encoding="utf-8"?>
<sst xmlns="http://schemas.openxmlformats.org/spreadsheetml/2006/main" count="2071" uniqueCount="712">
  <si>
    <t xml:space="preserve">     </t>
  </si>
  <si>
    <t>INSTITUTO ELECTORAL DEL ESTADO DE MÉXICO</t>
  </si>
  <si>
    <t>PROCESOS ELECTORALES 2005 - 2006</t>
  </si>
  <si>
    <t>DIRECCIÓN GENERAL</t>
  </si>
  <si>
    <t>MPIO.</t>
  </si>
  <si>
    <t>CABECERA</t>
  </si>
  <si>
    <t>LISTA NOMINAL</t>
  </si>
  <si>
    <t>PAN</t>
  </si>
  <si>
    <t>PRI</t>
  </si>
  <si>
    <t>ALIANZA POR MEXICO</t>
  </si>
  <si>
    <t>PRD</t>
  </si>
  <si>
    <t>PT</t>
  </si>
  <si>
    <t>PVEM</t>
  </si>
  <si>
    <t>CONVERGENCIA</t>
  </si>
  <si>
    <t>NO REGISTRADOS</t>
  </si>
  <si>
    <t>VOTOS NULOS</t>
  </si>
  <si>
    <t>VOTACIÓN</t>
  </si>
  <si>
    <t>Anulada por el TEEM</t>
  </si>
  <si>
    <t>CANDIDATURA COMÚN</t>
  </si>
  <si>
    <t>VOTACION GANADORA</t>
  </si>
  <si>
    <t>VOTOS</t>
  </si>
  <si>
    <t>%</t>
  </si>
  <si>
    <t>TOTAL</t>
  </si>
  <si>
    <t>PARTIDOS</t>
  </si>
  <si>
    <t>TOTAL ESTATAL</t>
  </si>
  <si>
    <t>ACAMBAY</t>
  </si>
  <si>
    <t>PAN - PRD - PT - C</t>
  </si>
  <si>
    <t>ACOLMAN</t>
  </si>
  <si>
    <t>PT - C</t>
  </si>
  <si>
    <t>ALMOLOYA DE ALQUISIRAS</t>
  </si>
  <si>
    <t>PRD - PT</t>
  </si>
  <si>
    <t>ALMOLOYA DE JUÁREZ</t>
  </si>
  <si>
    <t>ALMOLOYA DEL RIO</t>
  </si>
  <si>
    <t>AMANALCO</t>
  </si>
  <si>
    <t>PRD - PT - C</t>
  </si>
  <si>
    <t>AMATEPEC</t>
  </si>
  <si>
    <t>AMECAMECA</t>
  </si>
  <si>
    <t>APAXCO</t>
  </si>
  <si>
    <t>ATENCO</t>
  </si>
  <si>
    <t>ATIZAPAN</t>
  </si>
  <si>
    <t>ATIZAPAN DE ZARAGOZA</t>
  </si>
  <si>
    <t>ATLACOMULCO</t>
  </si>
  <si>
    <t>ATLAUTLA</t>
  </si>
  <si>
    <t>AYAPANGO</t>
  </si>
  <si>
    <t>CALIMAYA</t>
  </si>
  <si>
    <t>CAPULHUAC</t>
  </si>
  <si>
    <t>COATEPEC HARINAS</t>
  </si>
  <si>
    <t>COCOTITLAN</t>
  </si>
  <si>
    <t>COYOTEPEC</t>
  </si>
  <si>
    <t>CUAUTITLAN</t>
  </si>
  <si>
    <t>PRD - C</t>
  </si>
  <si>
    <t>CHALCO</t>
  </si>
  <si>
    <t>CHAPA DE MOTA</t>
  </si>
  <si>
    <t>CHAPULTEPEC</t>
  </si>
  <si>
    <t>CHIAUTLA</t>
  </si>
  <si>
    <t>CHICOLOAPAN</t>
  </si>
  <si>
    <t>CHICONCUAC</t>
  </si>
  <si>
    <t>DONATO GUERRA</t>
  </si>
  <si>
    <t>ECATZINGO</t>
  </si>
  <si>
    <t>HUEHUETOCA</t>
  </si>
  <si>
    <t>HUEYPOXTLA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</si>
  <si>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</si>
  <si>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</si>
  <si>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</si>
  <si>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</si>
  <si>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</si>
  <si>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</si>
  <si>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</si>
  <si>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</si>
  <si>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</si>
  <si>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</si>
  <si>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JOCOTITLAN</t>
  </si>
  <si>
    <t>JOQUICINGO</t>
  </si>
  <si>
    <t>JUCHITEPEC</t>
  </si>
  <si>
    <t>LERMA</t>
  </si>
  <si>
    <t>MALINALCO</t>
  </si>
  <si>
    <t>MELCHOR OCAMPO</t>
  </si>
  <si>
    <t>MEXICALTZINGO</t>
  </si>
  <si>
    <t>MORELOS</t>
  </si>
  <si>
    <t>NEXTLALPAN</t>
  </si>
  <si>
    <t>NEZAHUALCOYOTL</t>
  </si>
  <si>
    <t>NICOLAS ROMERO</t>
  </si>
  <si>
    <t>NOPALTEPEC</t>
  </si>
  <si>
    <t>PRI - PVEM</t>
  </si>
  <si>
    <t>OCUILAN</t>
  </si>
  <si>
    <t>OTUMBA</t>
  </si>
  <si>
    <t>OTZOLOAPAN</t>
  </si>
  <si>
    <t>OTZOLOTEPEC</t>
  </si>
  <si>
    <t>OZUMBA</t>
  </si>
  <si>
    <t>PAPALOTLA</t>
  </si>
  <si>
    <t>POLOTITLAN</t>
  </si>
  <si>
    <t>RAYON</t>
  </si>
  <si>
    <t>SAN ANTONIO LA ISLA</t>
  </si>
  <si>
    <t>SAN FELIPE DEL PROGRESO</t>
  </si>
  <si>
    <t>SAN MARTIN DE LAS PIRAMIDES</t>
  </si>
  <si>
    <t>SAN MATEO ATENCO</t>
  </si>
  <si>
    <t>SAN SIMON DE GUERRERO</t>
  </si>
  <si>
    <t>SANTO TOMAS</t>
  </si>
  <si>
    <t>SOYANIQUILPAN DE JUAREZ</t>
  </si>
  <si>
    <t>SULTEPEC</t>
  </si>
  <si>
    <t>TEMAMATLA</t>
  </si>
  <si>
    <t>TEMASCALAPA</t>
  </si>
  <si>
    <t>TEMASCALCINGO</t>
  </si>
  <si>
    <t>PAN - PRD - PT</t>
  </si>
  <si>
    <t>TEMASCALTEPEC</t>
  </si>
  <si>
    <t>TEMOAYA</t>
  </si>
  <si>
    <t>PAN - PRD</t>
  </si>
  <si>
    <t>TENANCINGO</t>
  </si>
  <si>
    <t>TENANGO DEL AIRE</t>
  </si>
  <si>
    <t>TENANGO DEL VALLE</t>
  </si>
  <si>
    <t>TEPETLAOXTOC</t>
  </si>
  <si>
    <t>TEPETLIXPLA</t>
  </si>
  <si>
    <t>TEPOTZOTLAN</t>
  </si>
  <si>
    <t>TEQUIXQUIAC</t>
  </si>
  <si>
    <t>TEXCALTITLAN</t>
  </si>
  <si>
    <t>TEXCALYACAC</t>
  </si>
  <si>
    <t>TEXCOCO</t>
  </si>
  <si>
    <t>TEZOYUCA</t>
  </si>
  <si>
    <t>TIANGUISTENCO</t>
  </si>
  <si>
    <t>TIMILPAN</t>
  </si>
  <si>
    <t>TLALMANALCO</t>
  </si>
  <si>
    <t>TLATLAYA</t>
  </si>
  <si>
    <t>TOLUCA</t>
  </si>
  <si>
    <t>TONATICO</t>
  </si>
  <si>
    <t>TULTEPEC</t>
  </si>
  <si>
    <t>TULTITLAN</t>
  </si>
  <si>
    <t>VILLA DE ALLENDE</t>
  </si>
  <si>
    <t>PAN - PT</t>
  </si>
  <si>
    <t>VILLA DEL CARBON</t>
  </si>
  <si>
    <t>VILLA GUERRERO</t>
  </si>
  <si>
    <t>VILLA VICTORIA</t>
  </si>
  <si>
    <t>XONACATLAN</t>
  </si>
  <si>
    <t>PAN - C</t>
  </si>
  <si>
    <t>ZACAZONAPAN</t>
  </si>
  <si>
    <t>ZACUALPAN</t>
  </si>
  <si>
    <t>ZUMPAHUACAN</t>
  </si>
  <si>
    <t>ZUMPANGO</t>
  </si>
  <si>
    <t>VALLE DE CHALCO SOLIDARIDAD</t>
  </si>
  <si>
    <t>LUVIANOS</t>
  </si>
  <si>
    <t>SAN JOSE DEL RINCÓN</t>
  </si>
  <si>
    <t>TONANITLA</t>
  </si>
  <si>
    <t>NOTAS:</t>
  </si>
  <si>
    <t>NO PARTICIPÓ CON CANDIDATOS O NO HUBO CANDIDATURA COMÚN</t>
  </si>
  <si>
    <t>1. El Tribunal Electoral del Estado de México en el juicio de inconformidad JI/44/2006 anuló 4 casillas.</t>
  </si>
  <si>
    <t>2. El Tribunal Electoral del Estado de México en los juicios de inconformidad JI/34/2006 y JI/41/2006 acumulados, decidió anular una casilla.</t>
  </si>
  <si>
    <t>3. El Tribunal Electoral del Estado de México en los juicios de inconformidad JI/38/2006 y JI/43/2006 acumulados, decidió que se agregaran los resultados de 3 casillas que no se incluyeron en el cómputo municipal inicialmente.</t>
  </si>
  <si>
    <t>4. El Tribunal Electoral del Estado de México en los juicios de inconformidad JI/31/2006 y JI/37/2006 acumulados, anuló 14 casillas.</t>
  </si>
  <si>
    <t>5. El Tribunal Electoral del Estado de México en el juicio de inconformidad JI/20/2006 decidió que se anularan 5 casillas.</t>
  </si>
  <si>
    <t>6. El Tribunal Electoral del Estado de México en el juicio de inconformidad JI/114/2006 y JI/117/2006 acumulados, anuló 77 casillas.</t>
  </si>
  <si>
    <t>7. El Tribunal Electoral del Estado de México en los juicios de inconformidad JI/65/2006 y JI/70/2006 acumulados, decidió anular una casilla.</t>
  </si>
  <si>
    <t>8. El Tribunal Electoral del Estado de México en los juicios de inconformidad JI/61/2006, JI/66/2006, JI/71/2006, JI/72/2006 y JI/120/2006 acumulados, decidió que se anularan 3 casillas.</t>
  </si>
  <si>
    <t>9. El Tribunal Electoral del Estado de México en los juicios de inconformidad JI/95//2006, JI/99/2006 y JI/100/2006 acumulados, anuló 13 casillas.</t>
  </si>
  <si>
    <t xml:space="preserve">10. Se registra la votación de la elección extraordinaria del 3 de septiembre de 2006, toda vez que El Tribunal Electoral del Estado de México en los juicios de inconformidad JI/110/2006 y JI/113/2006 acumulados, </t>
  </si>
  <si>
    <t xml:space="preserve">     determinó la anulación de la elección ordinaria de miembros del ayuntamiento.</t>
  </si>
  <si>
    <t>11. El Tribunal Electoral del Estado de México en el juicio de inconformidad JI/23/2006 anuló una casilla.</t>
  </si>
  <si>
    <t>12. El Tribunal Electoral del Estado de México en el juicio de inconformidad JI/47/2006 decidió que se anularan 4 casillas.</t>
  </si>
  <si>
    <t>13. El Tribunal Electoral del Estado de México en los juicios de inconformidad JI/63//2006, JI/76/2006, JI/80/2006, JI/85/2006 y JI/90/2006 acumulados, anuló una casilla y rectificó la votación de otra casilla.</t>
  </si>
  <si>
    <t>14. El Tribunal Electoral del Estado de México en el juicio de inconformidad JI/42/2006 decidió que se anularan 4 casillas.</t>
  </si>
  <si>
    <t>15. El Tribunal Electoral del Estado de México en los juicios de inconformidad JI/93/2006, JI/97/2006 y JI/102/2006 acumulados, anuló una casilla.</t>
  </si>
  <si>
    <t>16. El Tribunal Electoral del Estado de México en el juicio de inconformidad JI/30/2006 y JI/36/2006 determinó anular 3 casillas.</t>
  </si>
  <si>
    <t>17. El Tribunal Electoral del Estado de México en los juicios de inconformidad JI/33/2006, JI/39/2006 y JI/40/2006 acumulados, decidió que se anularan 12 casillas.</t>
  </si>
  <si>
    <t>18. El Tribunal Electoral del Estado de México en los juicios de inconformidad JI/92/2006, JI/96/2006 y JI/101/2006 acumulados, anuló una casilla.</t>
  </si>
  <si>
    <t>19. El Tribunal Electoral del Estado de México en los juicios de inconformidad JI/106/2006, JI/107/2006 y JI/108/2006 acumulados decidió que se anularan 2 casillas.</t>
  </si>
  <si>
    <r>
      <t xml:space="preserve">ACULCO </t>
    </r>
    <r>
      <rPr>
        <b/>
        <vertAlign val="superscript"/>
        <sz val="8"/>
        <rFont val="Arial Narrow"/>
        <family val="2"/>
      </rPr>
      <t>1</t>
    </r>
  </si>
  <si>
    <r>
      <t xml:space="preserve">AXAPUSCO </t>
    </r>
    <r>
      <rPr>
        <b/>
        <vertAlign val="superscript"/>
        <sz val="8"/>
        <rFont val="Arial Narrow"/>
        <family val="2"/>
      </rPr>
      <t>2</t>
    </r>
  </si>
  <si>
    <r>
      <t xml:space="preserve">COACALCO </t>
    </r>
    <r>
      <rPr>
        <b/>
        <vertAlign val="superscript"/>
        <sz val="8"/>
        <rFont val="Arial Narrow"/>
        <family val="2"/>
      </rPr>
      <t>3</t>
    </r>
  </si>
  <si>
    <r>
      <t xml:space="preserve">CUAUTITLAN IZCALLI </t>
    </r>
    <r>
      <rPr>
        <b/>
        <vertAlign val="superscript"/>
        <sz val="8"/>
        <rFont val="Arial Narrow"/>
        <family val="2"/>
      </rPr>
      <t>4</t>
    </r>
  </si>
  <si>
    <r>
      <t xml:space="preserve">CHIMALHUACAN </t>
    </r>
    <r>
      <rPr>
        <b/>
        <vertAlign val="superscript"/>
        <sz val="8"/>
        <rFont val="Arial Narrow"/>
        <family val="2"/>
      </rPr>
      <t>5</t>
    </r>
  </si>
  <si>
    <r>
      <t xml:space="preserve">ECATEPEC </t>
    </r>
    <r>
      <rPr>
        <b/>
        <vertAlign val="superscript"/>
        <sz val="8"/>
        <rFont val="Arial Narrow"/>
        <family val="2"/>
      </rPr>
      <t>6</t>
    </r>
  </si>
  <si>
    <r>
      <t xml:space="preserve">HUIXQUILUCAN </t>
    </r>
    <r>
      <rPr>
        <b/>
        <vertAlign val="superscript"/>
        <sz val="8"/>
        <rFont val="Arial Narrow"/>
        <family val="2"/>
      </rPr>
      <t>7</t>
    </r>
  </si>
  <si>
    <r>
      <t xml:space="preserve">METEPEC </t>
    </r>
    <r>
      <rPr>
        <b/>
        <vertAlign val="superscript"/>
        <sz val="8"/>
        <rFont val="Arial Narrow"/>
        <family val="2"/>
      </rPr>
      <t>8</t>
    </r>
  </si>
  <si>
    <r>
      <t xml:space="preserve">NAUCALPAN </t>
    </r>
    <r>
      <rPr>
        <b/>
        <vertAlign val="superscript"/>
        <sz val="8"/>
        <rFont val="Arial Narrow"/>
        <family val="2"/>
      </rPr>
      <t>9</t>
    </r>
  </si>
  <si>
    <r>
      <t xml:space="preserve">OCOYOACAC </t>
    </r>
    <r>
      <rPr>
        <b/>
        <vertAlign val="superscript"/>
        <sz val="8"/>
        <rFont val="Arial Narrow"/>
        <family val="2"/>
      </rPr>
      <t>10</t>
    </r>
  </si>
  <si>
    <r>
      <t xml:space="preserve">EL ORO </t>
    </r>
    <r>
      <rPr>
        <b/>
        <vertAlign val="superscript"/>
        <sz val="8"/>
        <rFont val="Arial Narrow"/>
        <family val="2"/>
      </rPr>
      <t>11</t>
    </r>
  </si>
  <si>
    <r>
      <t xml:space="preserve">LA PAZ </t>
    </r>
    <r>
      <rPr>
        <b/>
        <vertAlign val="superscript"/>
        <sz val="8"/>
        <rFont val="Arial Narrow"/>
        <family val="2"/>
      </rPr>
      <t>12</t>
    </r>
  </si>
  <si>
    <r>
      <t xml:space="preserve">TECAMAC </t>
    </r>
    <r>
      <rPr>
        <b/>
        <vertAlign val="superscript"/>
        <sz val="8"/>
        <rFont val="Arial Narrow"/>
        <family val="2"/>
      </rPr>
      <t>13</t>
    </r>
  </si>
  <si>
    <r>
      <t xml:space="preserve">TEJUPILCO </t>
    </r>
    <r>
      <rPr>
        <b/>
        <vertAlign val="superscript"/>
        <sz val="8"/>
        <rFont val="Arial Narrow"/>
        <family val="2"/>
      </rPr>
      <t>14</t>
    </r>
  </si>
  <si>
    <r>
      <t xml:space="preserve">TEOLOYUCAN </t>
    </r>
    <r>
      <rPr>
        <b/>
        <vertAlign val="superscript"/>
        <sz val="8"/>
        <rFont val="Arial Narrow"/>
        <family val="2"/>
      </rPr>
      <t>15</t>
    </r>
  </si>
  <si>
    <r>
      <t xml:space="preserve">TEOTIHUACAN </t>
    </r>
    <r>
      <rPr>
        <b/>
        <vertAlign val="superscript"/>
        <sz val="8"/>
        <rFont val="Arial Narrow"/>
        <family val="2"/>
      </rPr>
      <t>16</t>
    </r>
  </si>
  <si>
    <r>
      <t xml:space="preserve">TLALNEPANTLA </t>
    </r>
    <r>
      <rPr>
        <b/>
        <vertAlign val="superscript"/>
        <sz val="8"/>
        <rFont val="Arial Narrow"/>
        <family val="2"/>
      </rPr>
      <t>17</t>
    </r>
  </si>
  <si>
    <r>
      <t xml:space="preserve">VALLE DE BRAVO </t>
    </r>
    <r>
      <rPr>
        <b/>
        <vertAlign val="superscript"/>
        <sz val="8"/>
        <rFont val="Arial Narrow"/>
        <family val="2"/>
      </rPr>
      <t>18</t>
    </r>
  </si>
  <si>
    <r>
      <t xml:space="preserve">ZINACANTEPEC </t>
    </r>
    <r>
      <rPr>
        <b/>
        <vertAlign val="superscript"/>
        <sz val="8"/>
        <rFont val="Arial Narrow"/>
        <family val="2"/>
      </rPr>
      <t>19</t>
    </r>
  </si>
  <si>
    <t>RESULTADOS DE LA ELECCIÓN DE AYUNTAMIENTOS</t>
  </si>
  <si>
    <t xml:space="preserve">                 (incluye resoluciones del Tribunal Electoral del Estado de México y del Tribunal Electoral del Poder Judicial de la Federación)</t>
  </si>
  <si>
    <t>El Tribunal Electoral del Poder Judicial de la Federación no modificó ningún resultado.</t>
  </si>
  <si>
    <t>La coalición Alianza por México se integró por los partidos políticos Partido Revolucionario Institucional (PRI) y Partido Verde Ecologista de México (PVEM).</t>
  </si>
  <si>
    <t>INSTITUTO ELECTORAL DEL ESTADO DE MEXICO</t>
  </si>
  <si>
    <t>SECRETARÍA EJECUTIVA GENERAL</t>
  </si>
  <si>
    <t>Procesos electorales 2009 para elegir integrantes de los HH. Ayuntamientos</t>
  </si>
  <si>
    <t>RESULTADOS DE LA ELECCIÓN DE AYUNTAMIENTOS CON BASE EN LAS ACTAS DE COMPUTO MUNICIPAL</t>
  </si>
  <si>
    <t>INCLUYE LAS RESOLUCIONES DEL TRIBUNAL ELECTORAL DEL ESTADO DE MÉXICO Y DE LA SALA TOLUCA, QUINTA CIRCUNSCRIPCIÓN PLURINOMINAL DEL TRIBUNAL ELECTORAL DEL PODER JUDICIAL DE LA FEDERACIÓN</t>
  </si>
  <si>
    <t>Horas</t>
  </si>
  <si>
    <t>La Votación Total es la suma de los votos de los participantes, de los No Registrados, los Votos Nulos y la votación anulada por el TEEM y la Sala Toluca del TEPJF</t>
  </si>
  <si>
    <t>El porcentaje de votación de cada partido o coalición, de los No Registrados, de los Votos Nulos y la votación anulada por los tribunales se calcula contra la Votación Total</t>
  </si>
  <si>
    <r>
      <t xml:space="preserve">Las cantidades positivas son los votos anulados, en tanto que </t>
    </r>
    <r>
      <rPr>
        <b/>
        <sz val="9"/>
        <rFont val="Arial Narrow"/>
        <family val="2"/>
      </rPr>
      <t>las cantidades negativas son votos que se agregraron a los del cómputo municipal</t>
    </r>
  </si>
  <si>
    <t>P L A N I L L A     C O M U N</t>
  </si>
  <si>
    <t>SUMA TOTAL DE PLANILLA COMUN</t>
  </si>
  <si>
    <t>MUNICIPIO</t>
  </si>
  <si>
    <t>Lista</t>
  </si>
  <si>
    <t>C</t>
  </si>
  <si>
    <t>N A</t>
  </si>
  <si>
    <t>PSD</t>
  </si>
  <si>
    <t>PFD</t>
  </si>
  <si>
    <t>PRI-PVEM-NA-PSD-PFD</t>
  </si>
  <si>
    <t>No Reg</t>
  </si>
  <si>
    <t>Votos Válidos</t>
  </si>
  <si>
    <t>Nulos</t>
  </si>
  <si>
    <t>Votación</t>
  </si>
  <si>
    <t>Participación</t>
  </si>
  <si>
    <t>Resolución del TEEM</t>
  </si>
  <si>
    <t>Resolución de la Sala Toluca del TEPJF</t>
  </si>
  <si>
    <t>Partido Ganador</t>
  </si>
  <si>
    <t>Lugar</t>
  </si>
  <si>
    <t>Partido en segundo lugar</t>
  </si>
  <si>
    <t>Margen de victoria</t>
  </si>
  <si>
    <t>Nominal</t>
  </si>
  <si>
    <t>Votos</t>
  </si>
  <si>
    <t>Porcentaje</t>
  </si>
  <si>
    <t>Porcentj</t>
  </si>
  <si>
    <t>Total</t>
  </si>
  <si>
    <t>ciudadana</t>
  </si>
  <si>
    <t>Siglas</t>
  </si>
  <si>
    <t>PRI - PVEM - NA - PSD - PFD</t>
  </si>
  <si>
    <t>votos</t>
  </si>
  <si>
    <t>porcentual</t>
  </si>
  <si>
    <t>ESTATAL</t>
  </si>
  <si>
    <t>1 - ACAMBAY</t>
  </si>
  <si>
    <t>2 - ACOLMAN</t>
  </si>
  <si>
    <r>
      <t xml:space="preserve">3 - ACULCO </t>
    </r>
    <r>
      <rPr>
        <b/>
        <vertAlign val="superscript"/>
        <sz val="10"/>
        <rFont val="Arial Narrow"/>
        <family val="2"/>
      </rPr>
      <t>1</t>
    </r>
  </si>
  <si>
    <t xml:space="preserve">4 - ALMOLOYA DE ALQUISIRAS </t>
  </si>
  <si>
    <t>5 - ALMOLOYA DE JUAREZ</t>
  </si>
  <si>
    <t>6 - ALMOLOYA DEL RIO</t>
  </si>
  <si>
    <t>7 - AMANALCO</t>
  </si>
  <si>
    <r>
      <t xml:space="preserve">8 - AMATEPEC </t>
    </r>
    <r>
      <rPr>
        <b/>
        <vertAlign val="superscript"/>
        <sz val="10"/>
        <rFont val="Arial Narrow"/>
        <family val="2"/>
      </rPr>
      <t>2</t>
    </r>
  </si>
  <si>
    <t>9 - AMECAMECA</t>
  </si>
  <si>
    <r>
      <t xml:space="preserve">10 - APAXCO </t>
    </r>
    <r>
      <rPr>
        <b/>
        <vertAlign val="superscript"/>
        <sz val="10"/>
        <rFont val="Arial Narrow"/>
        <family val="2"/>
      </rPr>
      <t>3</t>
    </r>
  </si>
  <si>
    <t>11 - ATENCO</t>
  </si>
  <si>
    <t>12 - ATIZAPAN</t>
  </si>
  <si>
    <t>13 - ATIZAPAN DE ZARAGOZA</t>
  </si>
  <si>
    <t xml:space="preserve">14 - ATLACOMULCO </t>
  </si>
  <si>
    <t>15 - ATLAUTLA</t>
  </si>
  <si>
    <t>16 - AXAPUSCO</t>
  </si>
  <si>
    <t>17 - AYAPANGO</t>
  </si>
  <si>
    <t>18 - CALIMAYA</t>
  </si>
  <si>
    <t>19 - CAPULHUAC</t>
  </si>
  <si>
    <r>
      <t xml:space="preserve">20 - COACALCO </t>
    </r>
    <r>
      <rPr>
        <b/>
        <vertAlign val="superscript"/>
        <sz val="10"/>
        <rFont val="Arial Narrow"/>
        <family val="2"/>
      </rPr>
      <t>4</t>
    </r>
  </si>
  <si>
    <t>21 - COATEPEC HARINAS</t>
  </si>
  <si>
    <t>22 - COCOTITLAN</t>
  </si>
  <si>
    <t>23 - COYOTEPEC</t>
  </si>
  <si>
    <r>
      <t xml:space="preserve">24 - CUAUTITLAN  </t>
    </r>
    <r>
      <rPr>
        <b/>
        <vertAlign val="superscript"/>
        <sz val="10"/>
        <rFont val="Arial Narrow"/>
        <family val="2"/>
      </rPr>
      <t>5</t>
    </r>
  </si>
  <si>
    <r>
      <t xml:space="preserve">25 - CUAUTITLAN IZCALLI </t>
    </r>
    <r>
      <rPr>
        <b/>
        <vertAlign val="superscript"/>
        <sz val="10"/>
        <rFont val="Arial Narrow"/>
        <family val="2"/>
      </rPr>
      <t>6</t>
    </r>
  </si>
  <si>
    <r>
      <t xml:space="preserve">26 - CHALCO  </t>
    </r>
    <r>
      <rPr>
        <b/>
        <vertAlign val="superscript"/>
        <sz val="10"/>
        <rFont val="Arial Narrow"/>
        <family val="2"/>
      </rPr>
      <t>7</t>
    </r>
  </si>
  <si>
    <t xml:space="preserve">27 - CHAPA DE MOTA </t>
  </si>
  <si>
    <t>28 - CHAPULTEPEC</t>
  </si>
  <si>
    <t>29 - CHIAUTLA</t>
  </si>
  <si>
    <t>30 - CHICOLOAPAN</t>
  </si>
  <si>
    <t>PRD-PT</t>
  </si>
  <si>
    <t>31 - CHICONCUAC</t>
  </si>
  <si>
    <t>32 - CHIMALHUACAN</t>
  </si>
  <si>
    <t>33 - DONATO GUERRA</t>
  </si>
  <si>
    <r>
      <t xml:space="preserve">34 - ECATEPEC </t>
    </r>
    <r>
      <rPr>
        <b/>
        <vertAlign val="superscript"/>
        <sz val="10"/>
        <rFont val="Arial Narrow"/>
        <family val="2"/>
      </rPr>
      <t>8</t>
    </r>
  </si>
  <si>
    <t>35 - ECATZINGO</t>
  </si>
  <si>
    <t>36 - HUEHUETOCA</t>
  </si>
  <si>
    <t>37 - HUEYPOXTLA</t>
  </si>
  <si>
    <t>38 - HUIXQUILUCAN</t>
  </si>
  <si>
    <r>
      <t xml:space="preserve">39 - ISIDRO FABELA </t>
    </r>
    <r>
      <rPr>
        <b/>
        <vertAlign val="superscript"/>
        <sz val="10"/>
        <rFont val="Arial Narrow"/>
        <family val="2"/>
      </rPr>
      <t>9</t>
    </r>
  </si>
  <si>
    <t>40 - IXTAPALUCA</t>
  </si>
  <si>
    <t>41 - IXTAPAN DE LA SAL</t>
  </si>
  <si>
    <t>42 - IXTAPAN DEL ORO</t>
  </si>
  <si>
    <t>43 - IXTLAHUACA</t>
  </si>
  <si>
    <t>44 - XALATLACO</t>
  </si>
  <si>
    <t>45 - JALTENCO</t>
  </si>
  <si>
    <t>46 - JILOTEPEC</t>
  </si>
  <si>
    <t>47 - JILOTZINGO</t>
  </si>
  <si>
    <t>48 - JIQUIPILCO</t>
  </si>
  <si>
    <t>49 - JOCOTITLAN</t>
  </si>
  <si>
    <t xml:space="preserve">50 - JOQUICINGO </t>
  </si>
  <si>
    <t>51 - JUCHITEPEC</t>
  </si>
  <si>
    <t>52 - LERMA</t>
  </si>
  <si>
    <t>53 - MALINALCO</t>
  </si>
  <si>
    <t>54 - MELCHOR OCAMPO</t>
  </si>
  <si>
    <r>
      <t xml:space="preserve">55 - METEPEC </t>
    </r>
    <r>
      <rPr>
        <b/>
        <vertAlign val="superscript"/>
        <sz val="10"/>
        <rFont val="Arial Narrow"/>
        <family val="2"/>
      </rPr>
      <t>10</t>
    </r>
  </si>
  <si>
    <t>56 - MEXICALTZINGO</t>
  </si>
  <si>
    <t>PAN-C</t>
  </si>
  <si>
    <t>57 - MORELOS</t>
  </si>
  <si>
    <t>58 - NAUCALPAN</t>
  </si>
  <si>
    <t xml:space="preserve">59 - NEXTLALPAN </t>
  </si>
  <si>
    <t>PT-C</t>
  </si>
  <si>
    <r>
      <t xml:space="preserve">60 - NEZAHUALCOYOTL </t>
    </r>
    <r>
      <rPr>
        <b/>
        <vertAlign val="superscript"/>
        <sz val="10"/>
        <rFont val="Arial Narrow"/>
        <family val="2"/>
      </rPr>
      <t>11</t>
    </r>
  </si>
  <si>
    <t>61 - NICOLAS ROMERO</t>
  </si>
  <si>
    <t>62 - NOPALTEPEC</t>
  </si>
  <si>
    <r>
      <t xml:space="preserve">63 - OCOYOACAC </t>
    </r>
    <r>
      <rPr>
        <b/>
        <vertAlign val="superscript"/>
        <sz val="10"/>
        <rFont val="Arial Narrow"/>
        <family val="2"/>
      </rPr>
      <t>12</t>
    </r>
  </si>
  <si>
    <t>64 - OCUILAN</t>
  </si>
  <si>
    <t>65 - EL ORO</t>
  </si>
  <si>
    <t>66 - OTUMBA</t>
  </si>
  <si>
    <t>67 - OTZOLOAPAN</t>
  </si>
  <si>
    <t>68 - OTZOLOTEPEC</t>
  </si>
  <si>
    <t>69 - OZUMBA</t>
  </si>
  <si>
    <t>70 - PAPALOTLA</t>
  </si>
  <si>
    <r>
      <t xml:space="preserve">71 - LA PAZ </t>
    </r>
    <r>
      <rPr>
        <b/>
        <vertAlign val="superscript"/>
        <sz val="10"/>
        <rFont val="Arial Narrow"/>
        <family val="2"/>
      </rPr>
      <t>13</t>
    </r>
  </si>
  <si>
    <t>72 - POLOTITLAN</t>
  </si>
  <si>
    <t>73 - RAYON</t>
  </si>
  <si>
    <t>74 - SAN ANTONIO LA ISLA</t>
  </si>
  <si>
    <t>75 - SAN FELIPE DEL PROGRESO</t>
  </si>
  <si>
    <t xml:space="preserve">76 - SAN MARTIN DE LAS PIRAMIDES </t>
  </si>
  <si>
    <t>77 - SAN MATEO ATENCO</t>
  </si>
  <si>
    <t>78 - SAN SIMON DE GUERRERO</t>
  </si>
  <si>
    <t>79 - SANTO TOMAS</t>
  </si>
  <si>
    <t>80 - SOYANIQUILPAN DE JUAREZ</t>
  </si>
  <si>
    <t>81 - SULTEPEC</t>
  </si>
  <si>
    <r>
      <t xml:space="preserve">82 - TECAMAC </t>
    </r>
    <r>
      <rPr>
        <b/>
        <vertAlign val="superscript"/>
        <sz val="10"/>
        <rFont val="Arial Narrow"/>
        <family val="2"/>
      </rPr>
      <t>14</t>
    </r>
  </si>
  <si>
    <t>83 - TEJUPILCO</t>
  </si>
  <si>
    <t>84 - TEMAMATLA</t>
  </si>
  <si>
    <t>85 - TEMASCALAPA</t>
  </si>
  <si>
    <t>86 - TEMASCALCINGO</t>
  </si>
  <si>
    <t>87 - TEMASCALTEPEC</t>
  </si>
  <si>
    <t>88 - TEMOAYA</t>
  </si>
  <si>
    <t>89 - TENANCINGO</t>
  </si>
  <si>
    <t>90 - TENANGO DEL AIRE</t>
  </si>
  <si>
    <t>91 - TENANGO DEL VALLE</t>
  </si>
  <si>
    <t>92 - TEOLOYUCAN</t>
  </si>
  <si>
    <t>93 - TEOTIHUACAN</t>
  </si>
  <si>
    <t xml:space="preserve">94 - TEPETLAOXTOC </t>
  </si>
  <si>
    <t>95 - TEPETLIXPA</t>
  </si>
  <si>
    <r>
      <t xml:space="preserve">96 - TEPOTZOTLAN </t>
    </r>
    <r>
      <rPr>
        <b/>
        <vertAlign val="superscript"/>
        <sz val="10"/>
        <rFont val="Arial Narrow"/>
        <family val="2"/>
      </rPr>
      <t>15</t>
    </r>
  </si>
  <si>
    <r>
      <t xml:space="preserve">97 - TEQUIXQUIAC </t>
    </r>
    <r>
      <rPr>
        <b/>
        <vertAlign val="superscript"/>
        <sz val="10"/>
        <rFont val="Arial Narrow"/>
        <family val="2"/>
      </rPr>
      <t>16</t>
    </r>
  </si>
  <si>
    <t>98 - TEXCALTITLAN</t>
  </si>
  <si>
    <t>99 - TEXCALYACAC</t>
  </si>
  <si>
    <t>100 - TEXCOCO</t>
  </si>
  <si>
    <t>101 - TEZOYUCA</t>
  </si>
  <si>
    <t>102 - TIANGUISTENCO</t>
  </si>
  <si>
    <t>103 - TIMILPAN</t>
  </si>
  <si>
    <t>104 - TLALMANALCO</t>
  </si>
  <si>
    <r>
      <t xml:space="preserve">105 - TLALNEPANTLA </t>
    </r>
    <r>
      <rPr>
        <b/>
        <vertAlign val="superscript"/>
        <sz val="10"/>
        <rFont val="Arial Narrow"/>
        <family val="2"/>
      </rPr>
      <t>17</t>
    </r>
  </si>
  <si>
    <t>106 - TLATLAYA</t>
  </si>
  <si>
    <t xml:space="preserve">107 - TOLUCA </t>
  </si>
  <si>
    <t>108 - TONATICO</t>
  </si>
  <si>
    <t>109 - TULTEPEC</t>
  </si>
  <si>
    <t xml:space="preserve">110 - TULTITLAN </t>
  </si>
  <si>
    <t>111 - VALLE DE BRAVO</t>
  </si>
  <si>
    <r>
      <t xml:space="preserve">112 - VILLA DE ALLENDE </t>
    </r>
    <r>
      <rPr>
        <b/>
        <vertAlign val="superscript"/>
        <sz val="10"/>
        <rFont val="Arial Narrow"/>
        <family val="2"/>
      </rPr>
      <t>18</t>
    </r>
  </si>
  <si>
    <t>113 - VILLA DEL CARBON</t>
  </si>
  <si>
    <t>114 - VILLA GUERRERO</t>
  </si>
  <si>
    <t>115 - VILLA VICTORIA</t>
  </si>
  <si>
    <r>
      <t xml:space="preserve">116 - XONACATLAN </t>
    </r>
    <r>
      <rPr>
        <b/>
        <vertAlign val="superscript"/>
        <sz val="10"/>
        <rFont val="Arial Narrow"/>
        <family val="2"/>
      </rPr>
      <t>19</t>
    </r>
  </si>
  <si>
    <t>117 - ZACAZONAPAN</t>
  </si>
  <si>
    <r>
      <t xml:space="preserve">118 - ZACUALPAN </t>
    </r>
    <r>
      <rPr>
        <b/>
        <vertAlign val="superscript"/>
        <sz val="10"/>
        <rFont val="Arial Narrow"/>
        <family val="2"/>
      </rPr>
      <t>20</t>
    </r>
  </si>
  <si>
    <t>119 - ZINACANTEPEC</t>
  </si>
  <si>
    <t>120 - ZUMPAHUACAN</t>
  </si>
  <si>
    <r>
      <t xml:space="preserve">121 - ZUMPANGO </t>
    </r>
    <r>
      <rPr>
        <b/>
        <vertAlign val="superscript"/>
        <sz val="10"/>
        <rFont val="Arial Narrow"/>
        <family val="2"/>
      </rPr>
      <t>21</t>
    </r>
  </si>
  <si>
    <r>
      <t xml:space="preserve">122 - VALLE DE CHALCO </t>
    </r>
    <r>
      <rPr>
        <b/>
        <vertAlign val="superscript"/>
        <sz val="10"/>
        <rFont val="Arial Narrow"/>
        <family val="2"/>
      </rPr>
      <t>22</t>
    </r>
  </si>
  <si>
    <t>123 - LUVIANOS</t>
  </si>
  <si>
    <t>124 - SAN JOSE DEL RINCON</t>
  </si>
  <si>
    <t>125 - TONANITLA</t>
  </si>
  <si>
    <t>Cantidad de municipios:</t>
  </si>
  <si>
    <t>Municipios</t>
  </si>
  <si>
    <t>Ganados</t>
  </si>
  <si>
    <t>En segundo lugar</t>
  </si>
  <si>
    <t>Partido Acción Nacional</t>
  </si>
  <si>
    <t>Planilla Común PRI-PVEM-NA-PSD-PFD</t>
  </si>
  <si>
    <t>Partido de la Revolución Democrática</t>
  </si>
  <si>
    <t>Partido del Trabajo</t>
  </si>
  <si>
    <t>Convergencia</t>
  </si>
  <si>
    <t>Planilla Común PAN - C</t>
  </si>
  <si>
    <t>Planilla Común PRD - PT</t>
  </si>
  <si>
    <t>Planilla Común PT - C</t>
  </si>
  <si>
    <t>NOTAS ACLARATORIAS:</t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</si>
  <si>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PAN y Convergencia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Un municipio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</si>
  <si>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PRI, PVEM, NA, PSD y PFD</t>
    </r>
    <r>
      <rPr>
        <sz val="10"/>
        <rFont val="Arial"/>
      </rPr>
      <t xml:space="preserve"> en los </t>
    </r>
    <r>
      <rPr>
        <b/>
        <sz val="10"/>
        <rFont val="Arial"/>
        <family val="2"/>
      </rPr>
      <t>125 municipios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</si>
  <si>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PRD y PT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24 municipios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</si>
  <si>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PT y Convergencia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7 municipios</t>
    </r>
    <r>
      <rPr>
        <sz val="10"/>
        <rFont val="Arial"/>
      </rPr>
      <t xml:space="preserve"> en el Estado</t>
    </r>
  </si>
  <si>
    <t xml:space="preserve">    1 - El Tribunal Electoral del Estado de México en el Juicio de Inconformidad JI/122/09 anuló 1 casilla; en el municipio de Aculco.</t>
  </si>
  <si>
    <t xml:space="preserve">    2 - El Tribunal Electoral del Estado de México en los Juicios de Inconformidad JI/042/2009 y JI/132/2009 acumulados decidió anular 5 casillas; en el municipio de Amatepec.</t>
  </si>
  <si>
    <t xml:space="preserve">    3 - El Tribunal Electoral del Estado de México en los Juicios de Inconformidad JI/38/2009 y JI/130/2009 acumulados recompuso el cómputo municipal; en el municipio de Apaxco.</t>
  </si>
  <si>
    <t xml:space="preserve">    4 - El Tribunal Electoral del Estado de México en el Juicio de Inconformidad JI/063/09 recompuso el cómputo municipal; en el municipio de Coacalco.</t>
  </si>
  <si>
    <t xml:space="preserve">    5 - El Tribunal Electoral del Estado de México en el Juicio de Inconformidad JI/087/2009 anuló 1 casilla; en el municipio de Cuautitlán.</t>
  </si>
  <si>
    <t xml:space="preserve">    6 - El Tribunal Electoral del Estado de México en los Juicios de Inconformidad JI/151/2009, JI/152/2009 y JI/153/2009 acumulados, decidió anular 12 casillas; en el municipio de Cuautitlán Izcalli.</t>
  </si>
  <si>
    <t xml:space="preserve">         La Sala Regional Toluca del Tribunal Electoral del Poder Judicial de la Federación en el Juicio de Revisión Constitucional ST-JRC-115/2009 anuló 4 casillas; en el municipio de Cuautitlán Izcalli.</t>
  </si>
  <si>
    <t xml:space="preserve">    7 - El Tribunal Electoral del Estado de México en el Juicio de Inconformidad JI/084/2009 decidió anular la votación de 12 casillas; en el municipio de Chalco.</t>
  </si>
  <si>
    <t xml:space="preserve">    8 - El Tribunal Electoral del Estado de México en los Juicios de Inconformidad JI/578/2009 y JI/579/2009 acumulados anuló 57 casillas; en el municipio de Ecatepec.</t>
  </si>
  <si>
    <t xml:space="preserve">    9 - El Tribunal Electoral del Estado de México en el Juicio de Inconformidad JI/069/09 anuló 1 casilla; en el municipio de Isidro Fabela.</t>
  </si>
  <si>
    <t xml:space="preserve">  10 - El Tribunal Electoral del Estado de México en los Juicios de Inconformidad JI/078/2009 y JI/079/2009 acumulados anuló 4 casillas; en el municipio de Metepec.</t>
  </si>
  <si>
    <t xml:space="preserve">  11 - El Tribunal Electoral del Estado de México en los Juicios de Inconformidad JI/159/2009 y del JI/160/2009 al JI/577/2009 acumulados anuló 38 casillas; en el municipio de Nezahualcóyotl.</t>
  </si>
  <si>
    <t xml:space="preserve">  12 - El Tribunal Electoral del Estado de México en los Juicios de Inconformidad JI/057/2009, JI/059/2009, JI/060/2009 y JI/061/2009 acumulados anuló 1 casilla; en el municiio de Ocoyoacac.</t>
  </si>
  <si>
    <t xml:space="preserve">  13 - El Tribunal Electoral del Estado de México en el Juicio de Inconformidad JI/107/09 anuló 8 casillas; en el municipio de La Paz.</t>
  </si>
  <si>
    <t xml:space="preserve">  14 - El Tribunal Electoral del Estado de México en los Juicios de Inconformidad JI/054/2009 y JI/055/2009 acumulados anuló 6 casillas; en el municipio de Tecamac.</t>
  </si>
  <si>
    <t xml:space="preserve">  15 - El Tribunal Electoral del Estado de México en los Juicios de Inconformidad JI/134/2009 y JI/135/2009 acumulados anuló 2 casillas; en el municipio de Tepotzotlán</t>
  </si>
  <si>
    <t xml:space="preserve">  16 - El Tribunal Electoral del Estado de México en los Juicios de Inconformidad JI/89/2009, JI/90/2009 y JI/91/2009 acumulados anuló 1 casilla; en el municipio de Tequixquiac.</t>
  </si>
  <si>
    <t xml:space="preserve">  17 - El Tribunal Electoral del Estado de México en los Juicios de Inconformidad JI/584/2009, JI/585/2009 y JI/586/2009 acumulados anuló 24 casillas; en el municipio de Tlanepantla.</t>
  </si>
  <si>
    <t xml:space="preserve">         La Sala Regional Toluca del Tribunal Electoral del Poder Judicial de la Federación en el Juicio de Revisión Constitucional ST-JRC-104/2009 y sus acumulados ST-JRC-105/2009 y ST-JRC-120/2009 anuló 5 casillas; en el municipio de Tlalnepantla.</t>
  </si>
  <si>
    <t xml:space="preserve">         La Sala Regional Toluca del Tribunal Electoral del Poder Judicial de la Federación en el Juicio de Revisión Constitucional ST-JRC-104/2009 y sus acumulados ST-JRC-105/2009 y ST-JRC-120/2009 revocó la anulación -de parte del TEEM- de 4 casillas; en el municipio de Tlalnepantla.</t>
  </si>
  <si>
    <t xml:space="preserve">  18 - El Tribunal Electoral del Estado de México en los Juicios de Inconformidad JI-001/2009, JI-002/2009 y JI-003/2009 acumulados anuló 4 casillas; en el municipio de Villa de Allende.</t>
  </si>
  <si>
    <t xml:space="preserve">  19 - El Tribunal Electoral del Estado de México en los Juicios de Inconformidad JI/007/2009 y JI/023/2009 acumulados anuló 2 casillas; en el municipio de Xonacatlán.</t>
  </si>
  <si>
    <t xml:space="preserve">  20 - La Sala Regional Toluca del Tribunal Electoral del Poder Judicial de la Federación en el Juicio de Revisión Constitucional ST-JRC-18/2009 anuló 1 casilla; en el municipio de Zacualpan.</t>
  </si>
  <si>
    <t xml:space="preserve">  21 - El Tribunal Electoral del Estado de México en el Juicio de Inconformidad JI/094/2009 anuló 11 casillas; en el municipio de Zumpango.</t>
  </si>
  <si>
    <t xml:space="preserve">  22 - El Tribunal Electoral del Estado de México en los Juicios de Inconformidad JI/580/2009, JI/581/2009 y JI/582/2009 acumulados anuló 16 casillas; en el municipio de Valle de Chalco Solidaridad.</t>
  </si>
  <si>
    <t>Datos de la gráfica</t>
  </si>
  <si>
    <t>NA</t>
  </si>
  <si>
    <t>NO REG.</t>
  </si>
  <si>
    <t>NULOS</t>
  </si>
  <si>
    <t>Procesos electorales 2012 para elegir integrantes de los HH. Ayuntamientos</t>
  </si>
  <si>
    <t>RESULTADOS DE LA ELECCIÓN DE AYUNTAMIENTOS, CON BASE EN LAS ACTAS DE CÓMPUTO MUNICIPALES</t>
  </si>
  <si>
    <t xml:space="preserve">La Votación Total es la suma de los votos de los participantes, de los No Registrados y los Votos Nulos </t>
  </si>
  <si>
    <t>19 DE DICIEMBRE DE 2012</t>
  </si>
  <si>
    <t>El porcentaje de votación de cada partido o coalición, de los No Registrados y de los Votos Nulos se calcula contra la Votación Total</t>
  </si>
  <si>
    <t>Comprometidos por el Estado de México</t>
  </si>
  <si>
    <t>Movimiento Progresista</t>
  </si>
  <si>
    <t>El Cambio Verdadero</t>
  </si>
  <si>
    <t>Unidos es Posible</t>
  </si>
  <si>
    <t>Morena</t>
  </si>
  <si>
    <t>PRI-PVEM-NA</t>
  </si>
  <si>
    <t>M C</t>
  </si>
  <si>
    <t>PRD-PT-MC</t>
  </si>
  <si>
    <r>
      <t>PRD-</t>
    </r>
    <r>
      <rPr>
        <b/>
        <sz val="10"/>
        <color indexed="60"/>
        <rFont val="Arial Narrow"/>
        <family val="2"/>
      </rPr>
      <t>PT</t>
    </r>
  </si>
  <si>
    <r>
      <t>PRD-</t>
    </r>
    <r>
      <rPr>
        <b/>
        <sz val="10"/>
        <color indexed="63"/>
        <rFont val="Arial Narrow"/>
        <family val="2"/>
      </rPr>
      <t>MC</t>
    </r>
  </si>
  <si>
    <r>
      <rPr>
        <b/>
        <sz val="10"/>
        <color indexed="60"/>
        <rFont val="Arial Narrow"/>
        <family val="2"/>
      </rPr>
      <t>PT</t>
    </r>
    <r>
      <rPr>
        <b/>
        <sz val="10"/>
        <rFont val="Arial Narrow"/>
        <family val="2"/>
      </rPr>
      <t>-</t>
    </r>
    <r>
      <rPr>
        <b/>
        <sz val="10"/>
        <color indexed="63"/>
        <rFont val="Arial Narrow"/>
        <family val="2"/>
      </rPr>
      <t>MC</t>
    </r>
  </si>
  <si>
    <t>Candidatos No Registrados</t>
  </si>
  <si>
    <t>Votos Nulos</t>
  </si>
  <si>
    <t>Votación Total</t>
  </si>
  <si>
    <t>Participación Ciudadana</t>
  </si>
  <si>
    <t xml:space="preserve">Partido Ganador </t>
  </si>
  <si>
    <t>Lugar que ocupan los partidos y las coaliciones</t>
  </si>
  <si>
    <t>Recomposición del cómputo</t>
  </si>
  <si>
    <t>MC</t>
  </si>
  <si>
    <t>PRD-MC</t>
  </si>
  <si>
    <t>PT-MC</t>
  </si>
  <si>
    <t>No Regis</t>
  </si>
  <si>
    <t>3 - ACULCO</t>
  </si>
  <si>
    <t>8 - AMATEPEC</t>
  </si>
  <si>
    <t>10 - APAXCO</t>
  </si>
  <si>
    <r>
      <t xml:space="preserve">13 - ATIZAPAN DE ZARAGOZA </t>
    </r>
    <r>
      <rPr>
        <b/>
        <vertAlign val="superscript"/>
        <sz val="10"/>
        <rFont val="Arial Narrow"/>
        <family val="2"/>
      </rPr>
      <t>1</t>
    </r>
  </si>
  <si>
    <r>
      <t xml:space="preserve">20 - COACALCO </t>
    </r>
    <r>
      <rPr>
        <b/>
        <vertAlign val="superscript"/>
        <sz val="10"/>
        <rFont val="Arial Narrow"/>
        <family val="2"/>
      </rPr>
      <t>2</t>
    </r>
  </si>
  <si>
    <t>24 - CUAUTITLAN</t>
  </si>
  <si>
    <r>
      <t xml:space="preserve">25 - CUAUTITLAN IZCALLI </t>
    </r>
    <r>
      <rPr>
        <b/>
        <vertAlign val="superscript"/>
        <sz val="10"/>
        <rFont val="Arial Narrow"/>
        <family val="2"/>
      </rPr>
      <t>3</t>
    </r>
  </si>
  <si>
    <r>
      <t xml:space="preserve">26 - CHALCO </t>
    </r>
    <r>
      <rPr>
        <b/>
        <vertAlign val="superscript"/>
        <sz val="10"/>
        <rFont val="Arial Narrow"/>
        <family val="2"/>
      </rPr>
      <t>4</t>
    </r>
  </si>
  <si>
    <r>
      <t xml:space="preserve">30 - CHICOLOAPAN </t>
    </r>
    <r>
      <rPr>
        <b/>
        <vertAlign val="superscript"/>
        <sz val="10"/>
        <rFont val="Arial Narrow"/>
        <family val="2"/>
      </rPr>
      <t>5</t>
    </r>
  </si>
  <si>
    <r>
      <t xml:space="preserve">34 - ECATEPEC </t>
    </r>
    <r>
      <rPr>
        <b/>
        <vertAlign val="superscript"/>
        <sz val="10"/>
        <rFont val="Arial Narrow"/>
        <family val="2"/>
      </rPr>
      <t>6</t>
    </r>
  </si>
  <si>
    <r>
      <t xml:space="preserve">36 - HUEHUETOCA </t>
    </r>
    <r>
      <rPr>
        <b/>
        <vertAlign val="superscript"/>
        <sz val="10"/>
        <rFont val="Arial Narrow"/>
        <family val="2"/>
      </rPr>
      <t>7</t>
    </r>
  </si>
  <si>
    <r>
      <t xml:space="preserve">38 - HUIXQUILUCAN </t>
    </r>
    <r>
      <rPr>
        <b/>
        <vertAlign val="superscript"/>
        <sz val="10"/>
        <rFont val="Arial Narrow"/>
        <family val="2"/>
      </rPr>
      <t>8</t>
    </r>
  </si>
  <si>
    <t>39 - ISIDRO FABELA</t>
  </si>
  <si>
    <r>
      <t xml:space="preserve">40 - IXTAPALUCA </t>
    </r>
    <r>
      <rPr>
        <b/>
        <vertAlign val="superscript"/>
        <sz val="10"/>
        <rFont val="Arial Narrow"/>
        <family val="2"/>
      </rPr>
      <t>9</t>
    </r>
  </si>
  <si>
    <t>60 - NEZAHUALCOYOTL</t>
  </si>
  <si>
    <t>63 - OCOYOACAC</t>
  </si>
  <si>
    <r>
      <t xml:space="preserve">71 - LA PAZ </t>
    </r>
    <r>
      <rPr>
        <b/>
        <vertAlign val="superscript"/>
        <sz val="10"/>
        <rFont val="Arial Narrow"/>
        <family val="2"/>
      </rPr>
      <t>11</t>
    </r>
  </si>
  <si>
    <r>
      <t xml:space="preserve">73 - RAYON </t>
    </r>
    <r>
      <rPr>
        <b/>
        <vertAlign val="superscript"/>
        <sz val="10"/>
        <rFont val="Arial Narrow"/>
        <family val="2"/>
      </rPr>
      <t>12</t>
    </r>
  </si>
  <si>
    <r>
      <t xml:space="preserve">78 - SAN SIMON DE GUERRERO </t>
    </r>
    <r>
      <rPr>
        <b/>
        <vertAlign val="superscript"/>
        <sz val="10"/>
        <rFont val="Arial Narrow"/>
        <family val="2"/>
      </rPr>
      <t>13</t>
    </r>
  </si>
  <si>
    <t>82 - TECAMAC</t>
  </si>
  <si>
    <r>
      <t xml:space="preserve">83 - TEJUPILCO </t>
    </r>
    <r>
      <rPr>
        <b/>
        <vertAlign val="superscript"/>
        <sz val="10"/>
        <rFont val="Arial Narrow"/>
        <family val="2"/>
      </rPr>
      <t>14</t>
    </r>
  </si>
  <si>
    <t>96 - TEPOTZOTLAN</t>
  </si>
  <si>
    <t>97 - TEQUIXQUIAC</t>
  </si>
  <si>
    <r>
      <t xml:space="preserve">98 - TEXCALTITLAN </t>
    </r>
    <r>
      <rPr>
        <b/>
        <vertAlign val="superscript"/>
        <sz val="10"/>
        <rFont val="Arial Narrow"/>
        <family val="2"/>
      </rPr>
      <t>15</t>
    </r>
  </si>
  <si>
    <r>
      <t xml:space="preserve">102 - TIANGUISTENCO </t>
    </r>
    <r>
      <rPr>
        <b/>
        <vertAlign val="superscript"/>
        <sz val="10"/>
        <rFont val="Arial Narrow"/>
        <family val="2"/>
      </rPr>
      <t>16</t>
    </r>
  </si>
  <si>
    <t>105 - TLALNEPANTLA</t>
  </si>
  <si>
    <t>112 - VILLA DE ALLENDE</t>
  </si>
  <si>
    <t>116 - XONACATLAN</t>
  </si>
  <si>
    <t>118 - ZACUALPAN</t>
  </si>
  <si>
    <r>
      <t xml:space="preserve">121 - ZUMPANGO </t>
    </r>
    <r>
      <rPr>
        <b/>
        <vertAlign val="superscript"/>
        <sz val="10"/>
        <rFont val="Arial Narrow"/>
        <family val="2"/>
      </rPr>
      <t>17</t>
    </r>
  </si>
  <si>
    <r>
      <t xml:space="preserve">122 - VALLE DE CHALCO </t>
    </r>
    <r>
      <rPr>
        <b/>
        <vertAlign val="superscript"/>
        <sz val="10"/>
        <rFont val="Arial Narrow"/>
        <family val="2"/>
      </rPr>
      <t>18</t>
    </r>
  </si>
  <si>
    <t>Cantidad de Municipios</t>
  </si>
  <si>
    <t>Partido Acción Nacional ( PAN )</t>
  </si>
  <si>
    <t>Comprometidos por el Estado de México PRI-PVEM-NA</t>
  </si>
  <si>
    <t>Partido de la Revolución Democrática ( PRD )</t>
  </si>
  <si>
    <t>Partido del Trabajo ( PT )</t>
  </si>
  <si>
    <t>Movimiento Ciudadano ( MC )</t>
  </si>
  <si>
    <t>Movimiento Progresista ( PRD-PT-MC )</t>
  </si>
  <si>
    <t>El Cambio Verdadero ( PRD-PT )</t>
  </si>
  <si>
    <t>Unidos es Posible ( PRD-MC )</t>
  </si>
  <si>
    <t>Morena ( PT-MC )</t>
  </si>
  <si>
    <t>Notas:</t>
  </si>
  <si>
    <t>La Sala Regional Toluca del Tribunal Electoral del Poder Judicial de la Federación no anuló ninguna casilla</t>
  </si>
  <si>
    <t xml:space="preserve"> 1 - Resolución del Tribunal Electoral del Estado de México al Juicio de Inconformidad JI/95/2012 y acumulado JI/96/2012</t>
  </si>
  <si>
    <t xml:space="preserve"> 2 - Resolución del Tribunal Electoral del Estado de México al Juicio de Inconformidad JI/87/2012</t>
  </si>
  <si>
    <t xml:space="preserve"> 3 - Resolución del Tribunal Electoral del Estado de México al Juicio de Inconformidad JI/75/2012</t>
  </si>
  <si>
    <t xml:space="preserve"> 4 - Resolución del Tribunal Electoral del Estado de México al Juicio de Inconformidad JI/47/2012</t>
  </si>
  <si>
    <t xml:space="preserve"> 5 - Resolución del Tribunal Electoral del Estado de México al Juicio de Inconformidad JI/104/2012</t>
  </si>
  <si>
    <t xml:space="preserve"> 6 - Resolución del Tribunal Electoral del Estado de México al Juicio de Inconformidad JI/92/2012</t>
  </si>
  <si>
    <t xml:space="preserve"> 7 - Resolución del Tribunal Electoral del Estado de México al Juicio de Inconformidad JI/100/2012 y acumulado JI/101/2012</t>
  </si>
  <si>
    <t xml:space="preserve"> 8 - Resolución del Tribunal Electoral del Estado de México al Juicio de Inconformidad JI/74/2012</t>
  </si>
  <si>
    <t xml:space="preserve"> 9 - Resolución del Tribunal Electoral del Estado de México al Juicio de Inconformidad JI/110/2012 y acumulado JI/111/2012</t>
  </si>
  <si>
    <t>10 - Resolución del Tribunal Electoral del Estado de México al Juicio de Inconformidad JI/67/2012 y acumulado JI/68/2012</t>
  </si>
  <si>
    <t>11 - Resolución del Tribunal Electoral del Estado de México al Juicio de Inconformidad JI/69/2012</t>
  </si>
  <si>
    <t xml:space="preserve">12 - Resolución del Tribunal Electoral del Estado de México al Juicio de Inconformidad JI/98/2012, anula dos casillas y </t>
  </si>
  <si>
    <t xml:space="preserve">       recompone la casilla 4018 C2, afectando a la Coalición Comprometidos por el Edo. de México y a los Votos Nulos</t>
  </si>
  <si>
    <t>13 - Resolución del Tribunal Electoral del Estado de México al Juicio de Inconformidad JI/40/2012 y acumulado JI/41/2012</t>
  </si>
  <si>
    <t xml:space="preserve">14 - Resolución del Tribunal Electoral del Estado de México al Juicio de Inconformidad JI/113/2012, </t>
  </si>
  <si>
    <t xml:space="preserve">       determinó recomponer el total del cómputo a partir de un recuento total</t>
  </si>
  <si>
    <t>15 - Resolución del Tribunal Electoral del Estado de México al Juicio de Inconformidad JI/94/2012</t>
  </si>
  <si>
    <t>16 - Resolución del Tribunal Electoral del Estado de México al Juicio de Inconformidad JI/55/2012</t>
  </si>
  <si>
    <t>17 - Resolución del Tribunal Electoral del Estado de México al Juicio de Inconformidad JI/21/2012</t>
  </si>
  <si>
    <t>18 - Resolución del Tribunal Electoral del Estado de México al Juicio de Inconformidad JI/90/2012 y acumulado JI/91/2012</t>
  </si>
  <si>
    <t xml:space="preserve"> </t>
  </si>
  <si>
    <t>DIRECCION GENERAL</t>
  </si>
  <si>
    <t>Elección de Ayuntamientos 1996 por Distrito Local</t>
  </si>
  <si>
    <t>Fuente: Instituto Electoral del Estado de México</t>
  </si>
  <si>
    <t>D.L.</t>
  </si>
  <si>
    <t>PC</t>
  </si>
  <si>
    <t>PPS</t>
  </si>
  <si>
    <t>PDM</t>
  </si>
  <si>
    <t>PPM</t>
  </si>
  <si>
    <t>OTROS</t>
  </si>
  <si>
    <t>VALIDOS</t>
  </si>
  <si>
    <t>SUMA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</si>
  <si>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</si>
  <si>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</si>
  <si>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</si>
  <si>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</si>
  <si>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</si>
  <si>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</si>
  <si>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</si>
  <si>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</si>
  <si>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</si>
  <si>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TEJUPILCO</t>
  </si>
  <si>
    <t>X</t>
  </si>
  <si>
    <t>VALLE DE BRAVO</t>
  </si>
  <si>
    <t>XI</t>
  </si>
  <si>
    <t>XII</t>
  </si>
  <si>
    <t>EL ORO</t>
  </si>
  <si>
    <t>XIII</t>
  </si>
  <si>
    <t>XIV</t>
  </si>
  <si>
    <t>XV</t>
  </si>
  <si>
    <t>XVI</t>
  </si>
  <si>
    <t>XVII</t>
  </si>
  <si>
    <t>HUIXQUILUCAN</t>
  </si>
  <si>
    <t>XVIII</t>
  </si>
  <si>
    <t>TLALNEPANTLA</t>
  </si>
  <si>
    <t>XIX</t>
  </si>
  <si>
    <t>XX</t>
  </si>
  <si>
    <t>XXI</t>
  </si>
  <si>
    <t>ECATEPEC</t>
  </si>
  <si>
    <t>XXII</t>
  </si>
  <si>
    <t>XXIII</t>
  </si>
  <si>
    <t>XXIV</t>
  </si>
  <si>
    <t>XXV</t>
  </si>
  <si>
    <t>XXVI</t>
  </si>
  <si>
    <t>XXVII</t>
  </si>
  <si>
    <t>XXVIII</t>
  </si>
  <si>
    <t>XXIX</t>
  </si>
  <si>
    <t>NAUCALPAN</t>
  </si>
  <si>
    <t>XXX</t>
  </si>
  <si>
    <t>XXXI</t>
  </si>
  <si>
    <t>LA PAZ</t>
  </si>
  <si>
    <t>XXXII</t>
  </si>
  <si>
    <t>XXXIII</t>
  </si>
  <si>
    <t>XXXIV</t>
  </si>
  <si>
    <t>XXXV</t>
  </si>
  <si>
    <t>METEPEC</t>
  </si>
  <si>
    <t>XXXVI</t>
  </si>
  <si>
    <t>XXXVII</t>
  </si>
  <si>
    <t>XXXVIII</t>
  </si>
  <si>
    <t>COACALCO</t>
  </si>
  <si>
    <t>XXXIX</t>
  </si>
  <si>
    <t>XL</t>
  </si>
  <si>
    <t>XLI</t>
  </si>
  <si>
    <t>XLII</t>
  </si>
  <si>
    <t>XLIII</t>
  </si>
  <si>
    <t>CUAUTITLAN IZCALLI</t>
  </si>
  <si>
    <t>XLIV</t>
  </si>
  <si>
    <t>XLV</t>
  </si>
  <si>
    <t>ZINACANTEPEC</t>
  </si>
  <si>
    <r>
      <t>NOTA:</t>
    </r>
    <r>
      <rPr>
        <sz val="8"/>
        <rFont val="Arial"/>
        <family val="2"/>
      </rPr>
      <t xml:space="preserve"> Los porcentajes de los partidos están calculados con respecto a la votación válida.</t>
    </r>
  </si>
  <si>
    <t xml:space="preserve">           En el caso del porcentaje de los votos válidos y los votos nulos, el porcentaje está calculado con respecto al total de votos.</t>
  </si>
  <si>
    <t>PROCESOS ELECTORALES 2002 - 2003</t>
  </si>
  <si>
    <t>RESULTADOS DEL CÓMPUTO DE LA ELECCIÓN DE AYUNTAMIENTOS (incluye resoluciones del TEEM y del TEPJF)</t>
  </si>
  <si>
    <t>APT (PRI - PVEM)</t>
  </si>
  <si>
    <t>PSN</t>
  </si>
  <si>
    <t>PAS</t>
  </si>
  <si>
    <t>PACEM</t>
  </si>
  <si>
    <t xml:space="preserve">Votos anulados </t>
  </si>
  <si>
    <t xml:space="preserve">Votos revocados </t>
  </si>
  <si>
    <t>por el TEEM</t>
  </si>
  <si>
    <t>por el TEPJF</t>
  </si>
  <si>
    <t>ACULCO</t>
  </si>
  <si>
    <t>ALMOLOYA DEL RÍO</t>
  </si>
  <si>
    <r>
      <t xml:space="preserve">AMATEPEC </t>
    </r>
    <r>
      <rPr>
        <vertAlign val="superscript"/>
        <sz val="10"/>
        <rFont val="Arial Narrow"/>
        <family val="2"/>
      </rPr>
      <t>5</t>
    </r>
  </si>
  <si>
    <r>
      <t xml:space="preserve">ATENCO </t>
    </r>
    <r>
      <rPr>
        <vertAlign val="superscript"/>
        <sz val="9"/>
        <rFont val="Arial Narrow"/>
        <family val="2"/>
      </rPr>
      <t>27</t>
    </r>
  </si>
  <si>
    <t>ATIZAPÁN</t>
  </si>
  <si>
    <r>
      <t xml:space="preserve">ATLAUTLA </t>
    </r>
    <r>
      <rPr>
        <vertAlign val="superscript"/>
        <sz val="9"/>
        <rFont val="Arial Narrow"/>
        <family val="2"/>
      </rPr>
      <t>19</t>
    </r>
  </si>
  <si>
    <t>AXAPUSCO</t>
  </si>
  <si>
    <r>
      <t xml:space="preserve">CALIMAYA </t>
    </r>
    <r>
      <rPr>
        <vertAlign val="superscript"/>
        <sz val="10"/>
        <rFont val="Arial Narrow"/>
        <family val="2"/>
      </rPr>
      <t>2</t>
    </r>
  </si>
  <si>
    <r>
      <t>CAPULHUAC</t>
    </r>
    <r>
      <rPr>
        <vertAlign val="superscript"/>
        <sz val="10"/>
        <rFont val="Arial Narrow"/>
        <family val="2"/>
      </rPr>
      <t xml:space="preserve"> 29</t>
    </r>
  </si>
  <si>
    <r>
      <t xml:space="preserve">COACALCO </t>
    </r>
    <r>
      <rPr>
        <vertAlign val="superscript"/>
        <sz val="10"/>
        <rFont val="Arial Narrow"/>
        <family val="2"/>
      </rPr>
      <t>22</t>
    </r>
  </si>
  <si>
    <t>COCOTITLÁN</t>
  </si>
  <si>
    <r>
      <t xml:space="preserve">CUAUTITLÁN </t>
    </r>
    <r>
      <rPr>
        <vertAlign val="superscript"/>
        <sz val="10"/>
        <rFont val="Arial Narrow"/>
        <family val="2"/>
      </rPr>
      <t>13</t>
    </r>
  </si>
  <si>
    <r>
      <t xml:space="preserve">CUAUTITLAN IZCALLI </t>
    </r>
    <r>
      <rPr>
        <vertAlign val="superscript"/>
        <sz val="10"/>
        <rFont val="Arial Narrow"/>
        <family val="2"/>
      </rPr>
      <t>28</t>
    </r>
  </si>
  <si>
    <r>
      <t xml:space="preserve">CHALCO </t>
    </r>
    <r>
      <rPr>
        <vertAlign val="superscript"/>
        <sz val="10"/>
        <rFont val="Arial Narrow"/>
        <family val="2"/>
      </rPr>
      <t>15</t>
    </r>
  </si>
  <si>
    <t>CHIMALHUACÁN</t>
  </si>
  <si>
    <r>
      <t xml:space="preserve">HUIXQUILUCAN </t>
    </r>
    <r>
      <rPr>
        <vertAlign val="superscript"/>
        <sz val="10"/>
        <rFont val="Arial Narrow"/>
        <family val="2"/>
      </rPr>
      <t>24</t>
    </r>
  </si>
  <si>
    <r>
      <t xml:space="preserve">IXTAPALUCA </t>
    </r>
    <r>
      <rPr>
        <vertAlign val="superscript"/>
        <sz val="10"/>
        <rFont val="Arial Narrow"/>
        <family val="2"/>
      </rPr>
      <t>25</t>
    </r>
  </si>
  <si>
    <r>
      <t xml:space="preserve">IXTAPAN DE LA SAL </t>
    </r>
    <r>
      <rPr>
        <vertAlign val="superscript"/>
        <sz val="10"/>
        <rFont val="Arial Narrow"/>
        <family val="2"/>
      </rPr>
      <t>9</t>
    </r>
  </si>
  <si>
    <r>
      <t xml:space="preserve">IXTLAHUACA </t>
    </r>
    <r>
      <rPr>
        <vertAlign val="superscript"/>
        <sz val="9"/>
        <rFont val="Arial Narrow"/>
        <family val="2"/>
      </rPr>
      <t>23</t>
    </r>
  </si>
  <si>
    <r>
      <t xml:space="preserve">JILOTEPEC </t>
    </r>
    <r>
      <rPr>
        <vertAlign val="superscript"/>
        <sz val="10"/>
        <rFont val="Arial Narrow"/>
        <family val="2"/>
      </rPr>
      <t>4</t>
    </r>
  </si>
  <si>
    <t>JOCOTITLÁN</t>
  </si>
  <si>
    <r>
      <t xml:space="preserve">JUCHITEPEC </t>
    </r>
    <r>
      <rPr>
        <vertAlign val="superscript"/>
        <sz val="9"/>
        <rFont val="Arial Narrow"/>
        <family val="2"/>
      </rPr>
      <t>3</t>
    </r>
  </si>
  <si>
    <r>
      <t xml:space="preserve">METEPEC </t>
    </r>
    <r>
      <rPr>
        <vertAlign val="superscript"/>
        <sz val="10"/>
        <rFont val="Arial Narrow"/>
        <family val="2"/>
      </rPr>
      <t>17</t>
    </r>
  </si>
  <si>
    <r>
      <t xml:space="preserve">NAUCALPAN </t>
    </r>
    <r>
      <rPr>
        <vertAlign val="superscript"/>
        <sz val="10"/>
        <rFont val="Arial Narrow"/>
        <family val="2"/>
      </rPr>
      <t>26</t>
    </r>
  </si>
  <si>
    <t>NEZAHUALCÓYOTL</t>
  </si>
  <si>
    <t>NICOLÁS ROMERO</t>
  </si>
  <si>
    <r>
      <t xml:space="preserve">OCOYOACAC </t>
    </r>
    <r>
      <rPr>
        <vertAlign val="superscript"/>
        <sz val="10"/>
        <rFont val="Arial Narrow"/>
        <family val="2"/>
      </rPr>
      <t>6</t>
    </r>
  </si>
  <si>
    <r>
      <t xml:space="preserve">EL ORO </t>
    </r>
    <r>
      <rPr>
        <vertAlign val="superscript"/>
        <sz val="10"/>
        <rFont val="Arial Narrow"/>
        <family val="2"/>
      </rPr>
      <t>1</t>
    </r>
  </si>
  <si>
    <r>
      <t xml:space="preserve">LA PAZ </t>
    </r>
    <r>
      <rPr>
        <vertAlign val="superscript"/>
        <sz val="10"/>
        <rFont val="Arial Narrow"/>
        <family val="2"/>
      </rPr>
      <t>10</t>
    </r>
  </si>
  <si>
    <t>POLOTITLÁN</t>
  </si>
  <si>
    <t>RAYÓN</t>
  </si>
  <si>
    <r>
      <t xml:space="preserve">SAN ANTONIO LA ISLA </t>
    </r>
    <r>
      <rPr>
        <vertAlign val="superscript"/>
        <sz val="10"/>
        <rFont val="Arial Narrow"/>
        <family val="2"/>
      </rPr>
      <t>20</t>
    </r>
  </si>
  <si>
    <t>SAN MARTÍN DE LAS PIRÁMIDES</t>
  </si>
  <si>
    <t>SAN SIMÓN DE GUERRERO</t>
  </si>
  <si>
    <t>SANTO TOMÁS</t>
  </si>
  <si>
    <r>
      <t xml:space="preserve">SULTEPEC </t>
    </r>
    <r>
      <rPr>
        <vertAlign val="superscript"/>
        <sz val="9"/>
        <rFont val="Arial Narrow"/>
        <family val="2"/>
      </rPr>
      <t>8</t>
    </r>
  </si>
  <si>
    <r>
      <t xml:space="preserve">TECAMAC </t>
    </r>
    <r>
      <rPr>
        <vertAlign val="superscript"/>
        <sz val="10"/>
        <rFont val="Arial Narrow"/>
        <family val="2"/>
      </rPr>
      <t>30</t>
    </r>
  </si>
  <si>
    <t>TEOLOYUCAN</t>
  </si>
  <si>
    <t xml:space="preserve">TEOTIHUACÁN </t>
  </si>
  <si>
    <t>TEPETLIXPA</t>
  </si>
  <si>
    <r>
      <t xml:space="preserve">TEPOTZOTLÁN </t>
    </r>
    <r>
      <rPr>
        <vertAlign val="superscript"/>
        <sz val="10"/>
        <rFont val="Arial Narrow"/>
        <family val="2"/>
      </rPr>
      <t>14</t>
    </r>
  </si>
  <si>
    <t>TEXCALTITLÁN</t>
  </si>
  <si>
    <r>
      <t xml:space="preserve">TEXCOCO </t>
    </r>
    <r>
      <rPr>
        <vertAlign val="superscript"/>
        <sz val="10"/>
        <rFont val="Arial Narrow"/>
        <family val="2"/>
      </rPr>
      <t>12</t>
    </r>
  </si>
  <si>
    <r>
      <t xml:space="preserve">TULTITLÁN </t>
    </r>
    <r>
      <rPr>
        <vertAlign val="superscript"/>
        <sz val="10"/>
        <rFont val="Arial Narrow"/>
        <family val="2"/>
      </rPr>
      <t>16</t>
    </r>
  </si>
  <si>
    <r>
      <t xml:space="preserve">VILLA DE ALLENDE </t>
    </r>
    <r>
      <rPr>
        <vertAlign val="superscript"/>
        <sz val="9"/>
        <rFont val="Arial Narrow"/>
        <family val="2"/>
      </rPr>
      <t>7</t>
    </r>
  </si>
  <si>
    <t>VILLA DEL CARBÓN</t>
  </si>
  <si>
    <t>XONACATLÁN</t>
  </si>
  <si>
    <r>
      <t xml:space="preserve">ZACUALPAN </t>
    </r>
    <r>
      <rPr>
        <vertAlign val="superscript"/>
        <sz val="9"/>
        <rFont val="Arial Narrow"/>
        <family val="2"/>
      </rPr>
      <t>18</t>
    </r>
  </si>
  <si>
    <r>
      <t xml:space="preserve">ZINACANTEPEC </t>
    </r>
    <r>
      <rPr>
        <vertAlign val="superscript"/>
        <sz val="10"/>
        <rFont val="Arial Narrow"/>
        <family val="2"/>
      </rPr>
      <t>11</t>
    </r>
  </si>
  <si>
    <t>ZUMPAHUACÁN</t>
  </si>
  <si>
    <r>
      <t xml:space="preserve">LUVIANOS </t>
    </r>
    <r>
      <rPr>
        <vertAlign val="superscript"/>
        <sz val="10"/>
        <rFont val="Arial Narrow"/>
        <family val="2"/>
      </rPr>
      <t>21</t>
    </r>
  </si>
  <si>
    <t>1 - Resolución al juicio JI/07/2003</t>
  </si>
  <si>
    <t>2 - Resolución a los juicios JI/11/2003 y JI/12/2003 acumulados</t>
  </si>
  <si>
    <t>3 - Resolución a los juicios JI/22/2003, JI/23/2003 y JI/51/2003 acumulados</t>
  </si>
  <si>
    <t>4 - Resolución al juicio JI/24/2003</t>
  </si>
  <si>
    <t>5 - Resolución a los juicios JI/36/2003 y JI/37/2003 acumulados</t>
  </si>
  <si>
    <t>6 - Resolución a los juicios JI/41/2003 y JI/42/2003 acumulados</t>
  </si>
  <si>
    <t>7 - Resolución al juicio JI/52/2003</t>
  </si>
  <si>
    <t>8 - Resolución al juicio JI/53/2003</t>
  </si>
  <si>
    <t>9 - Resolución a los juicios JI/64/2003 y JI/65/2003 acumulados</t>
  </si>
  <si>
    <t>10 - Resolución del TEEM al juicio JI/85/2003, y del TEPJF al juicio SUP-JRC-090/2003.</t>
  </si>
  <si>
    <t>11 - Resolución a los juicios JI/71/2003, JI/72/2003 y JI/73/2003 acumulados</t>
  </si>
  <si>
    <t>12 - Resolución a los juicios JI/89/2003 y JI/90/2003 acumulados</t>
  </si>
  <si>
    <t>13 - Resolución al juicio JI/92/2003</t>
  </si>
  <si>
    <t>14 - Resolución a los juicios JI/96/2003 y JI/119/2003 acumulados, en la cual se determinó la NULIDAD DE LA ELECCIÓN.</t>
  </si>
  <si>
    <t>15 - Resolución a los juicios JI/107/2003 y JI/108/2003 acumulados, cambió el partido ganador, otorgándole la constancia de mayoría a la coalición ALIANZA para TODOS. Sin embargo, el TEPJF resolvió en el juicio SUP-JRC-073/2003 modificar el cómputo municipal, declarando un empate entre la coalición ALIANZA para TODOS y el PARTIDO de la REVOLUCION DEMOCRATICA.</t>
  </si>
  <si>
    <t>16 - Resolución al juicio JI/121/2003</t>
  </si>
  <si>
    <t>17 - Resolución a los juicios JI/122/2003, JI/123/2003, JI/124/2003, JI/125/2003, JI/126/2003 y JI/129/2003 acumulados</t>
  </si>
  <si>
    <t>18 - Resolución del TEEM a los juicios JI/135/2003, JI/136/2003 y JI/137/2003 acumulados, y del TEPJF a los juicios SUP-JRC-087/2003, SUP-JRC-088/2003 y SUP-JRC-089/2003 acumulados.</t>
  </si>
  <si>
    <t>19 - Resolución a los juicios JI/154/2003, JI/155/2003 y JI/156/2003 acumulados</t>
  </si>
  <si>
    <t>20 - Resolución a los juicios JI/13/2003 y JI/14/2003 acumulados, cambió el partido ganador, otorgándole la constancia de mayoría a la coalición ALIANZA PARA TODOS. Sin embargo, el TEPJF en la resolución al juicio SUP-JRC-105/2003 confirmó el cómputo municipal, otorgando la mayoría al PARTIDO de la REVOLUCION DEMOCRATICA.</t>
  </si>
  <si>
    <t>21 - Resolución al juicio JI/104/2003, y del TEPJF a los juicios SUP-JRC-095/2003 y SUP-JRC-097/2003 acumulados.</t>
  </si>
  <si>
    <t>22 - Resolución a los juicios JI/110/2003 y JI/117/2003 acumulados, en la cual se determinó la NULIDAD DE LA ELECCIÓN. Sin embargo, el TEPJF en la resolución al juicio SUP-JRC-099/2003 modificó la sentencia del TEEM, y revocó la nulidad de la elección; confirmando la mayoría para el PARTIDO ACCION NACIONAL.</t>
  </si>
  <si>
    <t>23 - Resolución al juicio JI/112/2003</t>
  </si>
  <si>
    <t>24 - Resolución a los juicios JI/131/2003 y JI/132/2003 acumulados</t>
  </si>
  <si>
    <t>25 - Resolución a los juicios JI/133/2003 y JI/134/2003 acumulados</t>
  </si>
  <si>
    <t>26 - Resolución a los juicios JI/146/2003, JI/151/2003 y JI/152/2003 acumulados</t>
  </si>
  <si>
    <t>27 - Resolución a los juicios JI/157/2003 y JI/158/2003 acumulados, en la cual se determinó la NULIDAD DE LA ELECCIÓN.</t>
  </si>
  <si>
    <t>28 - Resolución a los juicios JI/116/2003 y JI/130/2003 acumulados</t>
  </si>
  <si>
    <t>29 - Resolución del TEPJF al juicio SUP-JRC-101/2003.</t>
  </si>
  <si>
    <t>30 - Resolución del TEPJF al juicio SUP-JRC-048/2003.</t>
  </si>
  <si>
    <t>Elección de Ayuntamientos 2000 por Municipio</t>
  </si>
  <si>
    <t>No.</t>
  </si>
  <si>
    <t>CD</t>
  </si>
  <si>
    <t>PCD</t>
  </si>
  <si>
    <t>PARM</t>
  </si>
  <si>
    <t>DS</t>
  </si>
  <si>
    <t>ALMOLOYA DE JUAREZ</t>
  </si>
  <si>
    <t>CHIMALHUACAN</t>
  </si>
  <si>
    <t>JALATLACO</t>
  </si>
  <si>
    <t>MEXICALCINGO</t>
  </si>
  <si>
    <t>OCOYOACAC</t>
  </si>
  <si>
    <t>SOYANIQUILPAN</t>
  </si>
  <si>
    <t>TECAMAC</t>
  </si>
  <si>
    <t>TEOTIHUACAN</t>
  </si>
  <si>
    <t>V. DE CHALCO SOLIDARIDAD</t>
  </si>
  <si>
    <t>SECRETARÍA EJECUTIVA</t>
  </si>
  <si>
    <t>Unidad de Informática y Estadística</t>
  </si>
  <si>
    <t>Procesos electorales 2014 - 2015</t>
  </si>
  <si>
    <t>Sombreado, el Margen de victoria es menor o igual a 3 %</t>
  </si>
  <si>
    <t>Resultados de los Cómputos de la elección de miembros de los Ayuntamientos, realizados por los Consejos Municipales</t>
  </si>
  <si>
    <t xml:space="preserve">Información actualizada al </t>
  </si>
  <si>
    <t>Suma de las Coaliciones</t>
  </si>
  <si>
    <t xml:space="preserve">Candidato Ganador </t>
  </si>
  <si>
    <t>Candidato en segundo lugar</t>
  </si>
  <si>
    <t>NOMBRE MUNICIPIO</t>
  </si>
  <si>
    <t>TOTAL CASILLAS</t>
  </si>
  <si>
    <t>TOTAL CASILLAS CAPTURADAS</t>
  </si>
  <si>
    <t>Porcentaje Captura</t>
  </si>
  <si>
    <t>MORENA</t>
  </si>
  <si>
    <t>PH</t>
  </si>
  <si>
    <t>ES</t>
  </si>
  <si>
    <t>PRI-PVEM</t>
  </si>
  <si>
    <t>PRI-NA</t>
  </si>
  <si>
    <t>PVEM-NA</t>
  </si>
  <si>
    <t>PAN-PT</t>
  </si>
  <si>
    <t>INDEPENDIENTE</t>
  </si>
  <si>
    <t>INDEPENDIENTE DOS</t>
  </si>
  <si>
    <t>PARTICIPACIÓN CIUDADANA</t>
  </si>
  <si>
    <t>Siglas (primeros ocho)</t>
  </si>
  <si>
    <t>Siglas (segundos ocho)</t>
  </si>
  <si>
    <t>Votación (primeros ocho)</t>
  </si>
  <si>
    <t>Votación (segundos ocho)</t>
  </si>
  <si>
    <t>COACALCO DE BERRIOZABAL</t>
  </si>
  <si>
    <t>ECATEPEC DE MORELOS</t>
  </si>
  <si>
    <r>
      <t xml:space="preserve">NAUCALPAN DE JUAREZ </t>
    </r>
    <r>
      <rPr>
        <vertAlign val="superscript"/>
        <sz val="10"/>
        <color indexed="8"/>
        <rFont val="Arial Narrow"/>
        <family val="2"/>
      </rPr>
      <t>1</t>
    </r>
  </si>
  <si>
    <r>
      <t xml:space="preserve">NEZAHUALCOYOTL </t>
    </r>
    <r>
      <rPr>
        <vertAlign val="superscript"/>
        <sz val="10"/>
        <color indexed="8"/>
        <rFont val="Arial Narrow"/>
        <family val="2"/>
      </rPr>
      <t>2</t>
    </r>
  </si>
  <si>
    <t>TLALNEPANTLA DE BAZ</t>
  </si>
  <si>
    <t>SAN JOSE DEL RINCON</t>
  </si>
  <si>
    <t>1 - En Naucalpan de Juárez (Municipio 58) no se registró un acta de Escrutinio y Cómputo</t>
  </si>
  <si>
    <t>2 - En el Municipio 60 de Nezahualcóyotl no se registraron dos Actas de Escrutinio y Cómputo</t>
  </si>
  <si>
    <t>SECCIÓN</t>
  </si>
  <si>
    <t>CASILLA</t>
  </si>
  <si>
    <t>NOREGISTRADOS</t>
  </si>
  <si>
    <t>*</t>
  </si>
  <si>
    <t>BASICA</t>
  </si>
  <si>
    <t>CONTIGUA 1</t>
  </si>
  <si>
    <t>CONTIGUA 2</t>
  </si>
  <si>
    <t>CONTIGUA 3</t>
  </si>
  <si>
    <t>CONTIGUA 4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</si>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</sst>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\ \ "/>
    <numFmt numFmtId="166" formatCode="_(* #,##0_);_(* \(#,##0\);_(* &quot;-&quot;??_);_(@_)"/>
    <numFmt numFmtId="167" formatCode="_-[$€-2]* #,##0.00_-;\-[$€-2]* #,##0.00_-;_-[$€-2]* &quot;-&quot;??_-"/>
    <numFmt numFmtId="168" formatCode="[$-80A]d&quot; de &quot;mmmm&quot; de &quot;yyyy;@"/>
    <numFmt numFmtId="169" formatCode="hh:mm:ss;@"/>
  </numFmts>
  <fonts count="64">
    <font>
      <sz val="10"/>
      <name val="Arial"/>
    </font>
    <font>
      <sz val="10"/>
      <name val="Arial"/>
    </font>
    <font>
      <sz val="9"/>
      <name val="Arial"/>
    </font>
    <font>
      <sz val="11"/>
      <name val="Arial"/>
      <family val="2"/>
    </font>
    <font>
      <b/>
      <sz val="10"/>
      <name val="BernhardMod BT"/>
      <family val="1"/>
    </font>
    <font>
      <b/>
      <sz val="10"/>
      <name val="Antique Olive"/>
      <family val="2"/>
    </font>
    <font>
      <sz val="10"/>
      <name val="Arial"/>
      <family val="2"/>
    </font>
    <font>
      <b/>
      <sz val="9"/>
      <name val="Book Antiqua"/>
      <family val="1"/>
    </font>
    <font>
      <b/>
      <u/>
      <sz val="9"/>
      <name val="Book Antiqua"/>
      <family val="1"/>
    </font>
    <font>
      <sz val="4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8"/>
      <name val="Arial Narrow"/>
      <family val="2"/>
    </font>
    <font>
      <b/>
      <vertAlign val="superscript"/>
      <sz val="8"/>
      <name val="Arial Narrow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</font>
    <font>
      <b/>
      <sz val="10"/>
      <color indexed="9"/>
      <name val="Arial"/>
    </font>
    <font>
      <b/>
      <sz val="10"/>
      <color indexed="8"/>
      <name val="Arial"/>
    </font>
    <font>
      <b/>
      <sz val="10"/>
      <color indexed="12"/>
      <name val="Arial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b/>
      <sz val="10"/>
      <color indexed="13"/>
      <name val="Arial Narrow"/>
      <family val="2"/>
    </font>
    <font>
      <b/>
      <sz val="10"/>
      <name val="Arial"/>
    </font>
    <font>
      <sz val="10"/>
      <name val="Arial Narrow"/>
      <family val="2"/>
    </font>
    <font>
      <b/>
      <vertAlign val="superscript"/>
      <sz val="10"/>
      <name val="Arial Narrow"/>
      <family val="2"/>
    </font>
    <font>
      <b/>
      <sz val="10"/>
      <color indexed="13"/>
      <name val="Arial"/>
    </font>
    <font>
      <b/>
      <sz val="10"/>
      <color indexed="60"/>
      <name val="Arial Narrow"/>
      <family val="2"/>
    </font>
    <font>
      <b/>
      <sz val="10"/>
      <color indexed="63"/>
      <name val="Arial Narrow"/>
      <family val="2"/>
    </font>
    <font>
      <b/>
      <sz val="12"/>
      <name val="Arial Narrow"/>
      <family val="2"/>
    </font>
    <font>
      <sz val="9"/>
      <color indexed="81"/>
      <name val="Tahoma"/>
      <family val="2"/>
    </font>
    <font>
      <b/>
      <sz val="18"/>
      <name val="Fenice BT"/>
      <family val="1"/>
    </font>
    <font>
      <b/>
      <sz val="16"/>
      <name val="Fenice BT"/>
      <family val="1"/>
    </font>
    <font>
      <b/>
      <sz val="12"/>
      <name val="Fenice BT"/>
      <family val="1"/>
    </font>
    <font>
      <b/>
      <i/>
      <sz val="7"/>
      <name val="Arial"/>
      <family val="2"/>
    </font>
    <font>
      <b/>
      <sz val="10"/>
      <color indexed="9"/>
      <name val="Arial"/>
      <family val="2"/>
    </font>
    <font>
      <b/>
      <sz val="8"/>
      <name val="Arial"/>
    </font>
    <font>
      <b/>
      <i/>
      <sz val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</font>
    <font>
      <b/>
      <u/>
      <sz val="8"/>
      <name val="Arial"/>
      <family val="2"/>
    </font>
    <font>
      <vertAlign val="superscript"/>
      <sz val="10"/>
      <name val="Arial Narrow"/>
      <family val="2"/>
    </font>
    <font>
      <vertAlign val="superscript"/>
      <sz val="9"/>
      <name val="Arial Narrow"/>
      <family val="2"/>
    </font>
    <font>
      <i/>
      <sz val="10"/>
      <color indexed="60"/>
      <name val="Arial Narrow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 Narrow"/>
      <family val="2"/>
    </font>
    <font>
      <sz val="9"/>
      <color rgb="FFFFFFFF"/>
      <name val="Arial"/>
      <family val="2"/>
    </font>
    <font>
      <b/>
      <sz val="10"/>
      <color rgb="FFC00000"/>
      <name val="Arial Narrow"/>
      <family val="2"/>
    </font>
    <font>
      <b/>
      <sz val="10"/>
      <color theme="3" tint="-0.24994659260841701"/>
      <name val="Arial Narrow"/>
      <family val="2"/>
    </font>
    <font>
      <b/>
      <sz val="10"/>
      <color theme="0"/>
      <name val="Arial"/>
      <family val="2"/>
    </font>
    <font>
      <b/>
      <sz val="10"/>
      <color theme="7"/>
      <name val="Arial"/>
      <family val="2"/>
    </font>
    <font>
      <b/>
      <sz val="10"/>
      <color theme="5" tint="-0.24994659260841701"/>
      <name val="Arial"/>
      <family val="2"/>
    </font>
    <font>
      <sz val="9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53"/>
      </patternFill>
    </fill>
    <fill>
      <patternFill patternType="solid">
        <fgColor indexed="8"/>
        <bgColor indexed="64"/>
      </patternFill>
    </fill>
    <fill>
      <patternFill patternType="mediumGray">
        <fgColor indexed="17"/>
      </patternFill>
    </fill>
    <fill>
      <patternFill patternType="mediumGray">
        <fgColor indexed="12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-0.249977111117893"/>
        <bgColor indexed="9"/>
      </patternFill>
    </fill>
    <fill>
      <patternFill patternType="solid">
        <fgColor rgb="FFE63036"/>
        <bgColor indexed="9"/>
      </patternFill>
    </fill>
    <fill>
      <patternFill patternType="solid">
        <fgColor rgb="FFFFCD00"/>
        <bgColor indexed="9"/>
      </patternFill>
    </fill>
    <fill>
      <patternFill patternType="solid">
        <fgColor rgb="FFBE1621"/>
        <bgColor indexed="9"/>
      </patternFill>
    </fill>
    <fill>
      <patternFill patternType="solid">
        <fgColor rgb="FF4CB059"/>
        <bgColor indexed="9"/>
      </patternFill>
    </fill>
    <fill>
      <patternFill patternType="solid">
        <fgColor rgb="FFFF6600"/>
        <bgColor indexed="9"/>
      </patternFill>
    </fill>
    <fill>
      <patternFill patternType="solid">
        <fgColor rgb="FF00ACB8"/>
        <bgColor indexed="9"/>
      </patternFill>
    </fill>
    <fill>
      <patternFill patternType="solid">
        <fgColor rgb="FFB3272D"/>
        <bgColor indexed="9"/>
      </patternFill>
    </fill>
    <fill>
      <patternFill patternType="solid">
        <fgColor rgb="FFC126B8"/>
        <bgColor indexed="9"/>
      </patternFill>
    </fill>
    <fill>
      <patternFill patternType="solid">
        <fgColor rgb="FF288ABB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0"/>
        <bgColor indexed="9"/>
      </patternFill>
    </fill>
    <fill>
      <patternFill patternType="gray125">
        <bgColor theme="0" tint="-0.24994659260841701"/>
      </patternFill>
    </fill>
    <fill>
      <patternFill patternType="solid">
        <fgColor rgb="FF7F7F7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B3B3B3"/>
        <bgColor indexed="64"/>
      </patternFill>
    </fill>
  </fills>
  <borders count="7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8C8C8C"/>
      </left>
      <right/>
      <top style="thin">
        <color rgb="FF8C8C8C"/>
      </top>
      <bottom style="thin">
        <color rgb="FF000000"/>
      </bottom>
      <diagonal/>
    </border>
    <border>
      <left/>
      <right style="thin">
        <color rgb="FF000000"/>
      </right>
      <top style="thin">
        <color rgb="FF8C8C8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C8C8C"/>
      </top>
      <bottom style="thin">
        <color rgb="FF000000"/>
      </bottom>
      <diagonal/>
    </border>
    <border>
      <left style="thin">
        <color rgb="FF000000"/>
      </left>
      <right style="thin">
        <color rgb="FF8C8C8C"/>
      </right>
      <top style="thin">
        <color rgb="FF8C8C8C"/>
      </top>
      <bottom style="thin">
        <color rgb="FF000000"/>
      </bottom>
      <diagonal/>
    </border>
    <border>
      <left style="thin">
        <color rgb="FF8C8C8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C8C8C"/>
      </right>
      <top style="thin">
        <color rgb="FF000000"/>
      </top>
      <bottom style="thin">
        <color rgb="FF000000"/>
      </bottom>
      <diagonal/>
    </border>
    <border>
      <left style="thin">
        <color rgb="FF8C8C8C"/>
      </left>
      <right/>
      <top style="thin">
        <color rgb="FF000000"/>
      </top>
      <bottom style="thin">
        <color rgb="FF8C8C8C"/>
      </bottom>
      <diagonal/>
    </border>
    <border>
      <left/>
      <right/>
      <top style="thin">
        <color rgb="FF000000"/>
      </top>
      <bottom style="thin">
        <color rgb="FF8C8C8C"/>
      </bottom>
      <diagonal/>
    </border>
    <border>
      <left/>
      <right style="thin">
        <color rgb="FF000000"/>
      </right>
      <top style="thin">
        <color rgb="FF000000"/>
      </top>
      <bottom style="thin">
        <color rgb="FF8C8C8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C8C8C"/>
      </bottom>
      <diagonal/>
    </border>
    <border>
      <left style="thin">
        <color rgb="FF000000"/>
      </left>
      <right style="thin">
        <color rgb="FF8C8C8C"/>
      </right>
      <top style="thin">
        <color rgb="FF000000"/>
      </top>
      <bottom style="thin">
        <color rgb="FF8C8C8C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626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2" fontId="6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centerContinuous" vertical="center"/>
    </xf>
    <xf numFmtId="1" fontId="5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1" fontId="8" fillId="0" borderId="0" xfId="0" applyNumberFormat="1" applyFont="1" applyAlignment="1">
      <alignment horizontal="centerContinuous" vertical="center"/>
    </xf>
    <xf numFmtId="0" fontId="9" fillId="0" borderId="0" xfId="0" applyFont="1" applyAlignment="1"/>
    <xf numFmtId="2" fontId="9" fillId="0" borderId="0" xfId="0" applyNumberFormat="1" applyFont="1" applyAlignment="1">
      <alignment horizontal="center"/>
    </xf>
    <xf numFmtId="0" fontId="9" fillId="0" borderId="0" xfId="0" applyFont="1" applyBorder="1" applyAlignment="1"/>
    <xf numFmtId="1" fontId="9" fillId="0" borderId="0" xfId="0" applyNumberFormat="1" applyFont="1" applyAlignment="1">
      <alignment horizontal="center"/>
    </xf>
    <xf numFmtId="0" fontId="9" fillId="0" borderId="0" xfId="0" applyFont="1" applyFill="1" applyBorder="1"/>
    <xf numFmtId="1" fontId="10" fillId="2" borderId="1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1" fontId="10" fillId="2" borderId="3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center" vertical="center"/>
    </xf>
    <xf numFmtId="10" fontId="10" fillId="2" borderId="2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10" fontId="10" fillId="2" borderId="5" xfId="0" applyNumberFormat="1" applyFont="1" applyFill="1" applyBorder="1" applyAlignment="1">
      <alignment horizontal="center" vertical="center"/>
    </xf>
    <xf numFmtId="0" fontId="13" fillId="0" borderId="2" xfId="0" quotePrefix="1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165" fontId="13" fillId="0" borderId="2" xfId="3" applyNumberFormat="1" applyFont="1" applyBorder="1" applyAlignment="1">
      <alignment horizontal="center"/>
    </xf>
    <xf numFmtId="3" fontId="13" fillId="0" borderId="2" xfId="0" applyNumberFormat="1" applyFont="1" applyFill="1" applyBorder="1" applyAlignment="1">
      <alignment horizontal="center"/>
    </xf>
    <xf numFmtId="10" fontId="13" fillId="0" borderId="2" xfId="0" applyNumberFormat="1" applyFont="1" applyFill="1" applyBorder="1" applyAlignment="1">
      <alignment horizontal="center"/>
    </xf>
    <xf numFmtId="3" fontId="13" fillId="3" borderId="2" xfId="0" applyNumberFormat="1" applyFont="1" applyFill="1" applyBorder="1" applyAlignment="1">
      <alignment horizontal="center"/>
    </xf>
    <xf numFmtId="10" fontId="13" fillId="3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3" fontId="14" fillId="0" borderId="2" xfId="0" applyNumberFormat="1" applyFont="1" applyFill="1" applyBorder="1" applyAlignment="1">
      <alignment horizontal="center"/>
    </xf>
    <xf numFmtId="3" fontId="13" fillId="0" borderId="0" xfId="0" applyNumberFormat="1" applyFont="1" applyFill="1" applyBorder="1"/>
    <xf numFmtId="10" fontId="13" fillId="0" borderId="0" xfId="0" applyNumberFormat="1" applyFont="1" applyFill="1" applyBorder="1"/>
    <xf numFmtId="0" fontId="13" fillId="0" borderId="2" xfId="0" quotePrefix="1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/>
    </xf>
    <xf numFmtId="165" fontId="13" fillId="0" borderId="2" xfId="3" applyNumberFormat="1" applyFont="1" applyFill="1" applyBorder="1" applyAlignment="1">
      <alignment horizontal="center"/>
    </xf>
    <xf numFmtId="3" fontId="16" fillId="0" borderId="2" xfId="0" applyNumberFormat="1" applyFont="1" applyFill="1" applyBorder="1" applyAlignment="1">
      <alignment horizontal="center"/>
    </xf>
    <xf numFmtId="10" fontId="16" fillId="0" borderId="2" xfId="0" applyNumberFormat="1" applyFont="1" applyFill="1" applyBorder="1" applyAlignment="1">
      <alignment horizontal="center"/>
    </xf>
    <xf numFmtId="3" fontId="0" fillId="0" borderId="0" xfId="0" applyNumberFormat="1"/>
    <xf numFmtId="3" fontId="13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0" fontId="13" fillId="0" borderId="2" xfId="0" applyFont="1" applyBorder="1" applyAlignment="1">
      <alignment horizontal="center" vertical="center"/>
    </xf>
    <xf numFmtId="0" fontId="13" fillId="0" borderId="2" xfId="0" quotePrefix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164" fontId="16" fillId="0" borderId="0" xfId="0" applyNumberFormat="1" applyFont="1" applyBorder="1" applyAlignment="1">
      <alignment horizontal="left"/>
    </xf>
    <xf numFmtId="164" fontId="16" fillId="0" borderId="0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0" fontId="0" fillId="0" borderId="0" xfId="0" applyFill="1" applyBorder="1"/>
    <xf numFmtId="164" fontId="16" fillId="0" borderId="0" xfId="0" applyNumberFormat="1" applyFont="1" applyFill="1" applyBorder="1" applyAlignment="1">
      <alignment horizontal="center"/>
    </xf>
    <xf numFmtId="3" fontId="13" fillId="3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19" fillId="0" borderId="0" xfId="0" applyFont="1"/>
    <xf numFmtId="0" fontId="17" fillId="0" borderId="0" xfId="0" applyFont="1" applyFill="1" applyBorder="1"/>
    <xf numFmtId="0" fontId="20" fillId="0" borderId="0" xfId="0" applyFont="1"/>
    <xf numFmtId="0" fontId="25" fillId="0" borderId="0" xfId="0" applyFont="1"/>
    <xf numFmtId="168" fontId="0" fillId="0" borderId="0" xfId="0" applyNumberFormat="1" applyBorder="1" applyAlignment="1">
      <alignment horizontal="center"/>
    </xf>
    <xf numFmtId="169" fontId="0" fillId="0" borderId="0" xfId="0" applyNumberFormat="1" applyAlignment="1">
      <alignment horizontal="right"/>
    </xf>
    <xf numFmtId="0" fontId="0" fillId="0" borderId="0" xfId="0" applyNumberFormat="1" applyAlignment="1">
      <alignment horizontal="left"/>
    </xf>
    <xf numFmtId="168" fontId="0" fillId="0" borderId="9" xfId="0" applyNumberFormat="1" applyBorder="1" applyAlignment="1">
      <alignment horizontal="center"/>
    </xf>
    <xf numFmtId="0" fontId="27" fillId="3" borderId="13" xfId="0" applyFont="1" applyFill="1" applyBorder="1" applyAlignment="1">
      <alignment horizontal="center" vertical="center"/>
    </xf>
    <xf numFmtId="0" fontId="27" fillId="3" borderId="13" xfId="0" applyFont="1" applyFill="1" applyBorder="1" applyAlignment="1">
      <alignment horizontal="center"/>
    </xf>
    <xf numFmtId="0" fontId="27" fillId="3" borderId="10" xfId="0" applyFont="1" applyFill="1" applyBorder="1" applyAlignment="1">
      <alignment horizontal="center"/>
    </xf>
    <xf numFmtId="0" fontId="27" fillId="3" borderId="17" xfId="0" applyFont="1" applyFill="1" applyBorder="1" applyAlignment="1">
      <alignment horizontal="center"/>
    </xf>
    <xf numFmtId="0" fontId="27" fillId="3" borderId="18" xfId="0" applyFont="1" applyFill="1" applyBorder="1" applyAlignment="1">
      <alignment horizontal="center"/>
    </xf>
    <xf numFmtId="0" fontId="27" fillId="3" borderId="19" xfId="0" applyFont="1" applyFill="1" applyBorder="1" applyAlignment="1">
      <alignment horizontal="center"/>
    </xf>
    <xf numFmtId="0" fontId="27" fillId="3" borderId="10" xfId="0" applyFont="1" applyFill="1" applyBorder="1" applyAlignment="1">
      <alignment horizontal="justify"/>
    </xf>
    <xf numFmtId="0" fontId="27" fillId="12" borderId="19" xfId="0" applyFont="1" applyFill="1" applyBorder="1" applyAlignment="1">
      <alignment horizontal="center"/>
    </xf>
    <xf numFmtId="3" fontId="27" fillId="12" borderId="19" xfId="0" applyNumberFormat="1" applyFont="1" applyFill="1" applyBorder="1" applyAlignment="1">
      <alignment horizontal="center"/>
    </xf>
    <xf numFmtId="3" fontId="27" fillId="12" borderId="13" xfId="0" applyNumberFormat="1" applyFont="1" applyFill="1" applyBorder="1" applyAlignment="1">
      <alignment horizontal="center"/>
    </xf>
    <xf numFmtId="10" fontId="27" fillId="12" borderId="13" xfId="0" applyNumberFormat="1" applyFont="1" applyFill="1" applyBorder="1" applyAlignment="1">
      <alignment horizontal="center"/>
    </xf>
    <xf numFmtId="10" fontId="27" fillId="12" borderId="14" xfId="0" applyNumberFormat="1" applyFont="1" applyFill="1" applyBorder="1" applyAlignment="1">
      <alignment horizontal="center"/>
    </xf>
    <xf numFmtId="10" fontId="27" fillId="12" borderId="19" xfId="0" applyNumberFormat="1" applyFont="1" applyFill="1" applyBorder="1" applyAlignment="1">
      <alignment horizontal="center"/>
    </xf>
    <xf numFmtId="0" fontId="21" fillId="0" borderId="0" xfId="0" applyFont="1" applyFill="1"/>
    <xf numFmtId="0" fontId="0" fillId="0" borderId="0" xfId="0" applyAlignment="1">
      <alignment horizontal="center"/>
    </xf>
    <xf numFmtId="3" fontId="31" fillId="0" borderId="0" xfId="0" applyNumberFormat="1" applyFont="1"/>
    <xf numFmtId="10" fontId="31" fillId="0" borderId="0" xfId="0" applyNumberFormat="1" applyFont="1"/>
    <xf numFmtId="0" fontId="0" fillId="0" borderId="0" xfId="0" applyBorder="1"/>
    <xf numFmtId="0" fontId="0" fillId="0" borderId="11" xfId="0" applyBorder="1"/>
    <xf numFmtId="0" fontId="31" fillId="0" borderId="20" xfId="0" applyFont="1" applyBorder="1" applyAlignment="1">
      <alignment horizontal="justify"/>
    </xf>
    <xf numFmtId="3" fontId="31" fillId="0" borderId="20" xfId="0" applyNumberFormat="1" applyFont="1" applyBorder="1"/>
    <xf numFmtId="3" fontId="31" fillId="0" borderId="21" xfId="0" applyNumberFormat="1" applyFont="1" applyBorder="1" applyProtection="1">
      <protection locked="0"/>
    </xf>
    <xf numFmtId="10" fontId="31" fillId="0" borderId="21" xfId="0" applyNumberFormat="1" applyFont="1" applyBorder="1" applyAlignment="1">
      <alignment horizontal="center"/>
    </xf>
    <xf numFmtId="3" fontId="31" fillId="0" borderId="21" xfId="0" applyNumberFormat="1" applyFont="1" applyBorder="1" applyAlignment="1" applyProtection="1">
      <alignment horizontal="center"/>
      <protection locked="0"/>
    </xf>
    <xf numFmtId="3" fontId="31" fillId="13" borderId="21" xfId="0" applyNumberFormat="1" applyFont="1" applyFill="1" applyBorder="1"/>
    <xf numFmtId="10" fontId="31" fillId="13" borderId="21" xfId="0" applyNumberFormat="1" applyFont="1" applyFill="1" applyBorder="1" applyAlignment="1">
      <alignment horizontal="center"/>
    </xf>
    <xf numFmtId="3" fontId="31" fillId="13" borderId="21" xfId="0" applyNumberFormat="1" applyFont="1" applyFill="1" applyBorder="1" applyProtection="1">
      <protection locked="0"/>
    </xf>
    <xf numFmtId="3" fontId="31" fillId="0" borderId="21" xfId="0" applyNumberFormat="1" applyFont="1" applyBorder="1"/>
    <xf numFmtId="3" fontId="31" fillId="0" borderId="22" xfId="0" applyNumberFormat="1" applyFont="1" applyBorder="1"/>
    <xf numFmtId="10" fontId="31" fillId="0" borderId="23" xfId="0" applyNumberFormat="1" applyFont="1" applyBorder="1" applyAlignment="1">
      <alignment horizontal="center"/>
    </xf>
    <xf numFmtId="3" fontId="31" fillId="0" borderId="20" xfId="0" applyNumberFormat="1" applyFont="1" applyBorder="1" applyAlignment="1">
      <alignment horizontal="center"/>
    </xf>
    <xf numFmtId="3" fontId="31" fillId="13" borderId="20" xfId="0" applyNumberFormat="1" applyFont="1" applyFill="1" applyBorder="1"/>
    <xf numFmtId="3" fontId="31" fillId="0" borderId="21" xfId="0" applyNumberFormat="1" applyFont="1" applyBorder="1" applyAlignment="1">
      <alignment horizontal="center"/>
    </xf>
    <xf numFmtId="0" fontId="31" fillId="0" borderId="21" xfId="0" applyFont="1" applyFill="1" applyBorder="1" applyAlignment="1">
      <alignment horizontal="center" wrapText="1"/>
    </xf>
    <xf numFmtId="10" fontId="31" fillId="0" borderId="21" xfId="0" applyNumberFormat="1" applyFont="1" applyBorder="1"/>
    <xf numFmtId="0" fontId="0" fillId="0" borderId="21" xfId="0" applyBorder="1"/>
    <xf numFmtId="10" fontId="31" fillId="0" borderId="21" xfId="0" applyNumberFormat="1" applyFont="1" applyFill="1" applyBorder="1" applyAlignment="1">
      <alignment horizontal="center"/>
    </xf>
    <xf numFmtId="10" fontId="31" fillId="0" borderId="23" xfId="0" applyNumberFormat="1" applyFont="1" applyFill="1" applyBorder="1" applyAlignment="1">
      <alignment horizontal="center"/>
    </xf>
    <xf numFmtId="0" fontId="31" fillId="0" borderId="24" xfId="0" applyFont="1" applyBorder="1" applyAlignment="1">
      <alignment horizontal="justify"/>
    </xf>
    <xf numFmtId="3" fontId="31" fillId="0" borderId="24" xfId="0" applyNumberFormat="1" applyFont="1" applyBorder="1"/>
    <xf numFmtId="3" fontId="31" fillId="0" borderId="2" xfId="0" applyNumberFormat="1" applyFont="1" applyBorder="1" applyProtection="1">
      <protection locked="0"/>
    </xf>
    <xf numFmtId="10" fontId="31" fillId="0" borderId="2" xfId="0" applyNumberFormat="1" applyFont="1" applyBorder="1" applyAlignment="1">
      <alignment horizontal="center"/>
    </xf>
    <xf numFmtId="3" fontId="31" fillId="0" borderId="2" xfId="0" applyNumberFormat="1" applyFont="1" applyBorder="1" applyAlignment="1" applyProtection="1">
      <alignment horizontal="center"/>
      <protection locked="0"/>
    </xf>
    <xf numFmtId="3" fontId="31" fillId="13" borderId="2" xfId="0" applyNumberFormat="1" applyFont="1" applyFill="1" applyBorder="1"/>
    <xf numFmtId="10" fontId="31" fillId="13" borderId="2" xfId="0" applyNumberFormat="1" applyFont="1" applyFill="1" applyBorder="1" applyAlignment="1">
      <alignment horizontal="center"/>
    </xf>
    <xf numFmtId="3" fontId="31" fillId="13" borderId="2" xfId="0" applyNumberFormat="1" applyFont="1" applyFill="1" applyBorder="1" applyProtection="1">
      <protection locked="0"/>
    </xf>
    <xf numFmtId="3" fontId="31" fillId="0" borderId="2" xfId="0" applyNumberFormat="1" applyFont="1" applyBorder="1"/>
    <xf numFmtId="10" fontId="31" fillId="0" borderId="25" xfId="0" applyNumberFormat="1" applyFont="1" applyBorder="1" applyAlignment="1">
      <alignment horizontal="center"/>
    </xf>
    <xf numFmtId="3" fontId="31" fillId="0" borderId="24" xfId="0" applyNumberFormat="1" applyFont="1" applyBorder="1" applyAlignment="1">
      <alignment horizontal="center"/>
    </xf>
    <xf numFmtId="3" fontId="31" fillId="13" borderId="24" xfId="0" applyNumberFormat="1" applyFont="1" applyFill="1" applyBorder="1"/>
    <xf numFmtId="3" fontId="31" fillId="0" borderId="2" xfId="0" applyNumberFormat="1" applyFont="1" applyBorder="1" applyAlignment="1">
      <alignment horizontal="center"/>
    </xf>
    <xf numFmtId="0" fontId="31" fillId="0" borderId="2" xfId="0" applyFont="1" applyFill="1" applyBorder="1" applyAlignment="1">
      <alignment horizontal="center" wrapText="1"/>
    </xf>
    <xf numFmtId="10" fontId="31" fillId="0" borderId="2" xfId="0" applyNumberFormat="1" applyFont="1" applyBorder="1"/>
    <xf numFmtId="0" fontId="0" fillId="0" borderId="2" xfId="0" applyBorder="1"/>
    <xf numFmtId="10" fontId="31" fillId="0" borderId="25" xfId="0" applyNumberFormat="1" applyFont="1" applyFill="1" applyBorder="1" applyAlignment="1">
      <alignment horizontal="center"/>
    </xf>
    <xf numFmtId="10" fontId="31" fillId="0" borderId="2" xfId="0" applyNumberFormat="1" applyFont="1" applyFill="1" applyBorder="1" applyAlignment="1">
      <alignment horizontal="center"/>
    </xf>
    <xf numFmtId="0" fontId="31" fillId="0" borderId="26" xfId="0" applyFont="1" applyBorder="1" applyAlignment="1">
      <alignment horizontal="justify"/>
    </xf>
    <xf numFmtId="0" fontId="31" fillId="0" borderId="2" xfId="0" applyFont="1" applyBorder="1" applyAlignment="1">
      <alignment horizontal="justify"/>
    </xf>
    <xf numFmtId="3" fontId="31" fillId="0" borderId="5" xfId="0" applyNumberFormat="1" applyFont="1" applyBorder="1"/>
    <xf numFmtId="0" fontId="31" fillId="0" borderId="27" xfId="0" applyFont="1" applyBorder="1" applyAlignment="1">
      <alignment horizontal="justify"/>
    </xf>
    <xf numFmtId="3" fontId="31" fillId="0" borderId="1" xfId="0" applyNumberFormat="1" applyFont="1" applyBorder="1" applyProtection="1">
      <protection locked="0"/>
    </xf>
    <xf numFmtId="3" fontId="31" fillId="0" borderId="1" xfId="0" applyNumberFormat="1" applyFont="1" applyBorder="1" applyAlignment="1" applyProtection="1">
      <alignment horizontal="center"/>
      <protection locked="0"/>
    </xf>
    <xf numFmtId="3" fontId="31" fillId="0" borderId="1" xfId="0" applyNumberFormat="1" applyFont="1" applyBorder="1"/>
    <xf numFmtId="3" fontId="31" fillId="0" borderId="28" xfId="0" applyNumberFormat="1" applyFont="1" applyBorder="1"/>
    <xf numFmtId="10" fontId="31" fillId="0" borderId="6" xfId="0" applyNumberFormat="1" applyFont="1" applyBorder="1" applyAlignment="1">
      <alignment horizontal="center"/>
    </xf>
    <xf numFmtId="10" fontId="31" fillId="0" borderId="5" xfId="0" applyNumberFormat="1" applyFont="1" applyBorder="1" applyAlignment="1">
      <alignment horizontal="center"/>
    </xf>
    <xf numFmtId="10" fontId="31" fillId="0" borderId="4" xfId="0" applyNumberFormat="1" applyFont="1" applyBorder="1" applyAlignment="1">
      <alignment horizontal="center"/>
    </xf>
    <xf numFmtId="10" fontId="31" fillId="0" borderId="29" xfId="0" applyNumberFormat="1" applyFont="1" applyBorder="1" applyAlignment="1">
      <alignment horizontal="center"/>
    </xf>
    <xf numFmtId="3" fontId="31" fillId="0" borderId="3" xfId="0" applyNumberFormat="1" applyFont="1" applyBorder="1" applyProtection="1">
      <protection locked="0"/>
    </xf>
    <xf numFmtId="3" fontId="31" fillId="0" borderId="3" xfId="0" applyNumberFormat="1" applyFont="1" applyBorder="1" applyAlignment="1" applyProtection="1">
      <alignment horizontal="center"/>
      <protection locked="0"/>
    </xf>
    <xf numFmtId="3" fontId="31" fillId="0" borderId="3" xfId="0" applyNumberFormat="1" applyFont="1" applyBorder="1"/>
    <xf numFmtId="0" fontId="31" fillId="0" borderId="30" xfId="0" applyFont="1" applyBorder="1" applyAlignment="1">
      <alignment horizontal="justify"/>
    </xf>
    <xf numFmtId="3" fontId="31" fillId="0" borderId="30" xfId="0" applyNumberFormat="1" applyFont="1" applyBorder="1"/>
    <xf numFmtId="3" fontId="31" fillId="0" borderId="31" xfId="0" applyNumberFormat="1" applyFont="1" applyBorder="1" applyProtection="1">
      <protection locked="0"/>
    </xf>
    <xf numFmtId="10" fontId="31" fillId="0" borderId="31" xfId="0" applyNumberFormat="1" applyFont="1" applyBorder="1" applyAlignment="1">
      <alignment horizontal="center"/>
    </xf>
    <xf numFmtId="3" fontId="31" fillId="0" borderId="31" xfId="0" applyNumberFormat="1" applyFont="1" applyBorder="1" applyAlignment="1" applyProtection="1">
      <alignment horizontal="center"/>
      <protection locked="0"/>
    </xf>
    <xf numFmtId="3" fontId="31" fillId="13" borderId="31" xfId="0" applyNumberFormat="1" applyFont="1" applyFill="1" applyBorder="1"/>
    <xf numFmtId="10" fontId="31" fillId="13" borderId="31" xfId="0" applyNumberFormat="1" applyFont="1" applyFill="1" applyBorder="1" applyAlignment="1">
      <alignment horizontal="center"/>
    </xf>
    <xf numFmtId="3" fontId="31" fillId="13" borderId="31" xfId="0" applyNumberFormat="1" applyFont="1" applyFill="1" applyBorder="1" applyProtection="1">
      <protection locked="0"/>
    </xf>
    <xf numFmtId="3" fontId="31" fillId="0" borderId="31" xfId="0" applyNumberFormat="1" applyFont="1" applyBorder="1"/>
    <xf numFmtId="10" fontId="31" fillId="0" borderId="32" xfId="0" applyNumberFormat="1" applyFont="1" applyBorder="1" applyAlignment="1">
      <alignment horizontal="center"/>
    </xf>
    <xf numFmtId="3" fontId="31" fillId="0" borderId="30" xfId="0" applyNumberFormat="1" applyFont="1" applyBorder="1" applyAlignment="1">
      <alignment horizontal="center"/>
    </xf>
    <xf numFmtId="3" fontId="31" fillId="13" borderId="30" xfId="0" applyNumberFormat="1" applyFont="1" applyFill="1" applyBorder="1"/>
    <xf numFmtId="3" fontId="31" fillId="0" borderId="31" xfId="0" applyNumberFormat="1" applyFont="1" applyBorder="1" applyAlignment="1">
      <alignment horizontal="center"/>
    </xf>
    <xf numFmtId="10" fontId="31" fillId="0" borderId="31" xfId="0" applyNumberFormat="1" applyFont="1" applyBorder="1"/>
    <xf numFmtId="0" fontId="0" fillId="0" borderId="31" xfId="0" applyBorder="1"/>
    <xf numFmtId="0" fontId="31" fillId="0" borderId="31" xfId="0" applyFont="1" applyFill="1" applyBorder="1" applyAlignment="1">
      <alignment horizontal="center" wrapText="1"/>
    </xf>
    <xf numFmtId="10" fontId="31" fillId="0" borderId="32" xfId="0" applyNumberFormat="1" applyFont="1" applyFill="1" applyBorder="1" applyAlignment="1">
      <alignment horizontal="center"/>
    </xf>
    <xf numFmtId="0" fontId="31" fillId="0" borderId="0" xfId="0" applyFont="1" applyBorder="1" applyAlignment="1">
      <alignment horizontal="justify"/>
    </xf>
    <xf numFmtId="3" fontId="31" fillId="0" borderId="0" xfId="0" applyNumberFormat="1" applyFont="1" applyBorder="1"/>
    <xf numFmtId="10" fontId="31" fillId="0" borderId="0" xfId="0" applyNumberFormat="1" applyFont="1" applyBorder="1" applyAlignment="1">
      <alignment horizontal="center"/>
    </xf>
    <xf numFmtId="10" fontId="31" fillId="0" borderId="0" xfId="0" applyNumberFormat="1" applyFont="1" applyBorder="1"/>
    <xf numFmtId="0" fontId="31" fillId="0" borderId="0" xfId="0" applyFont="1" applyFill="1" applyBorder="1" applyAlignment="1">
      <alignment horizontal="center" wrapText="1"/>
    </xf>
    <xf numFmtId="0" fontId="17" fillId="0" borderId="0" xfId="0" applyFont="1"/>
    <xf numFmtId="0" fontId="31" fillId="0" borderId="0" xfId="0" applyFont="1" applyFill="1" applyBorder="1"/>
    <xf numFmtId="0" fontId="22" fillId="4" borderId="0" xfId="0" applyFont="1" applyFill="1" applyAlignment="1">
      <alignment horizontal="center"/>
    </xf>
    <xf numFmtId="0" fontId="22" fillId="5" borderId="0" xfId="0" applyFont="1" applyFill="1" applyAlignment="1">
      <alignment horizontal="justify"/>
    </xf>
    <xf numFmtId="0" fontId="23" fillId="6" borderId="0" xfId="0" applyFont="1" applyFill="1" applyAlignment="1">
      <alignment horizontal="center"/>
    </xf>
    <xf numFmtId="0" fontId="33" fillId="5" borderId="0" xfId="0" applyFont="1" applyFill="1" applyAlignment="1">
      <alignment horizontal="center"/>
    </xf>
    <xf numFmtId="0" fontId="24" fillId="9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 applyFill="1" applyBorder="1"/>
    <xf numFmtId="0" fontId="14" fillId="0" borderId="0" xfId="0" applyFont="1" applyFill="1" applyBorder="1"/>
    <xf numFmtId="10" fontId="21" fillId="0" borderId="0" xfId="5" applyNumberFormat="1"/>
    <xf numFmtId="0" fontId="6" fillId="0" borderId="0" xfId="2"/>
    <xf numFmtId="3" fontId="57" fillId="0" borderId="0" xfId="2" applyNumberFormat="1" applyFont="1" applyFill="1" applyBorder="1" applyAlignment="1">
      <alignment horizontal="center" vertical="center" wrapText="1"/>
    </xf>
    <xf numFmtId="0" fontId="57" fillId="0" borderId="0" xfId="2" applyFont="1" applyFill="1" applyBorder="1" applyAlignment="1">
      <alignment horizontal="center" vertical="center" wrapText="1"/>
    </xf>
    <xf numFmtId="0" fontId="6" fillId="0" borderId="0" xfId="2" applyFont="1"/>
    <xf numFmtId="0" fontId="25" fillId="0" borderId="0" xfId="2" applyFont="1"/>
    <xf numFmtId="0" fontId="6" fillId="0" borderId="0" xfId="2" applyNumberFormat="1" applyAlignment="1">
      <alignment horizontal="left"/>
    </xf>
    <xf numFmtId="168" fontId="6" fillId="0" borderId="0" xfId="2" applyNumberFormat="1" applyFont="1" applyBorder="1" applyAlignment="1">
      <alignment horizontal="center"/>
    </xf>
    <xf numFmtId="169" fontId="6" fillId="0" borderId="0" xfId="2" applyNumberFormat="1" applyFont="1" applyAlignment="1">
      <alignment horizontal="center"/>
    </xf>
    <xf numFmtId="168" fontId="6" fillId="0" borderId="0" xfId="2" applyNumberFormat="1" applyBorder="1" applyAlignment="1">
      <alignment horizontal="center"/>
    </xf>
    <xf numFmtId="169" fontId="6" fillId="0" borderId="0" xfId="2" applyNumberFormat="1" applyAlignment="1">
      <alignment horizontal="right"/>
    </xf>
    <xf numFmtId="168" fontId="6" fillId="0" borderId="9" xfId="2" applyNumberFormat="1" applyBorder="1" applyAlignment="1">
      <alignment horizontal="center"/>
    </xf>
    <xf numFmtId="0" fontId="27" fillId="3" borderId="13" xfId="2" applyFont="1" applyFill="1" applyBorder="1" applyAlignment="1">
      <alignment horizontal="center"/>
    </xf>
    <xf numFmtId="0" fontId="27" fillId="3" borderId="33" xfId="2" applyFont="1" applyFill="1" applyBorder="1" applyAlignment="1">
      <alignment horizontal="center"/>
    </xf>
    <xf numFmtId="0" fontId="28" fillId="0" borderId="10" xfId="2" applyFont="1" applyFill="1" applyBorder="1" applyAlignment="1">
      <alignment horizontal="center" vertical="center"/>
    </xf>
    <xf numFmtId="0" fontId="6" fillId="0" borderId="11" xfId="2" applyFill="1" applyBorder="1" applyAlignment="1">
      <alignment vertical="center"/>
    </xf>
    <xf numFmtId="0" fontId="28" fillId="0" borderId="11" xfId="2" applyFont="1" applyFill="1" applyBorder="1" applyAlignment="1">
      <alignment horizontal="center" vertical="center"/>
    </xf>
    <xf numFmtId="0" fontId="27" fillId="0" borderId="10" xfId="2" applyFont="1" applyFill="1" applyBorder="1" applyAlignment="1">
      <alignment horizontal="center" vertical="center"/>
    </xf>
    <xf numFmtId="0" fontId="27" fillId="0" borderId="11" xfId="2" applyFont="1" applyFill="1" applyBorder="1" applyAlignment="1">
      <alignment horizontal="center" vertical="center"/>
    </xf>
    <xf numFmtId="0" fontId="58" fillId="0" borderId="10" xfId="2" applyFont="1" applyFill="1" applyBorder="1" applyAlignment="1">
      <alignment horizontal="center" vertical="center"/>
    </xf>
    <xf numFmtId="0" fontId="58" fillId="0" borderId="11" xfId="2" applyFont="1" applyFill="1" applyBorder="1" applyAlignment="1">
      <alignment horizontal="center" vertical="center"/>
    </xf>
    <xf numFmtId="0" fontId="59" fillId="0" borderId="10" xfId="2" applyFont="1" applyFill="1" applyBorder="1" applyAlignment="1">
      <alignment horizontal="center" vertical="center"/>
    </xf>
    <xf numFmtId="0" fontId="59" fillId="0" borderId="11" xfId="2" applyFont="1" applyFill="1" applyBorder="1" applyAlignment="1">
      <alignment horizontal="center" vertical="center"/>
    </xf>
    <xf numFmtId="0" fontId="27" fillId="3" borderId="18" xfId="2" applyFont="1" applyFill="1" applyBorder="1" applyAlignment="1">
      <alignment horizontal="center" vertical="center"/>
    </xf>
    <xf numFmtId="0" fontId="27" fillId="3" borderId="10" xfId="2" applyFont="1" applyFill="1" applyBorder="1" applyAlignment="1">
      <alignment horizontal="center" vertical="center"/>
    </xf>
    <xf numFmtId="0" fontId="27" fillId="3" borderId="18" xfId="0" quotePrefix="1" applyFont="1" applyFill="1" applyBorder="1" applyAlignment="1">
      <alignment horizontal="justify" vertical="center"/>
    </xf>
    <xf numFmtId="0" fontId="27" fillId="3" borderId="19" xfId="2" applyFont="1" applyFill="1" applyBorder="1" applyAlignment="1">
      <alignment horizontal="center" vertical="center"/>
    </xf>
    <xf numFmtId="0" fontId="27" fillId="3" borderId="19" xfId="2" applyFont="1" applyFill="1" applyBorder="1" applyAlignment="1">
      <alignment horizontal="justify" vertical="center"/>
    </xf>
    <xf numFmtId="0" fontId="27" fillId="3" borderId="19" xfId="2" applyFont="1" applyFill="1" applyBorder="1" applyAlignment="1">
      <alignment horizontal="justify"/>
    </xf>
    <xf numFmtId="0" fontId="27" fillId="12" borderId="19" xfId="2" applyFont="1" applyFill="1" applyBorder="1" applyAlignment="1">
      <alignment horizontal="center"/>
    </xf>
    <xf numFmtId="3" fontId="27" fillId="12" borderId="19" xfId="2" applyNumberFormat="1" applyFont="1" applyFill="1" applyBorder="1" applyAlignment="1">
      <alignment horizontal="center"/>
    </xf>
    <xf numFmtId="3" fontId="27" fillId="12" borderId="13" xfId="2" applyNumberFormat="1" applyFont="1" applyFill="1" applyBorder="1" applyAlignment="1">
      <alignment horizontal="center"/>
    </xf>
    <xf numFmtId="10" fontId="27" fillId="12" borderId="13" xfId="2" applyNumberFormat="1" applyFont="1" applyFill="1" applyBorder="1" applyAlignment="1">
      <alignment horizontal="center"/>
    </xf>
    <xf numFmtId="10" fontId="27" fillId="12" borderId="14" xfId="2" applyNumberFormat="1" applyFont="1" applyFill="1" applyBorder="1" applyAlignment="1">
      <alignment horizontal="center"/>
    </xf>
    <xf numFmtId="0" fontId="6" fillId="0" borderId="0" xfId="2" applyFont="1" applyFill="1"/>
    <xf numFmtId="10" fontId="27" fillId="12" borderId="19" xfId="2" applyNumberFormat="1" applyFont="1" applyFill="1" applyBorder="1" applyAlignment="1">
      <alignment horizontal="center"/>
    </xf>
    <xf numFmtId="0" fontId="6" fillId="0" borderId="0" xfId="2" applyAlignment="1">
      <alignment horizontal="center"/>
    </xf>
    <xf numFmtId="3" fontId="31" fillId="0" borderId="0" xfId="2" applyNumberFormat="1" applyFont="1"/>
    <xf numFmtId="10" fontId="31" fillId="0" borderId="0" xfId="2" applyNumberFormat="1" applyFont="1"/>
    <xf numFmtId="0" fontId="6" fillId="0" borderId="0" xfId="2" applyBorder="1"/>
    <xf numFmtId="0" fontId="6" fillId="0" borderId="11" xfId="2" applyBorder="1"/>
    <xf numFmtId="0" fontId="31" fillId="0" borderId="20" xfId="2" applyFont="1" applyBorder="1" applyAlignment="1">
      <alignment horizontal="justify"/>
    </xf>
    <xf numFmtId="3" fontId="31" fillId="0" borderId="20" xfId="2" applyNumberFormat="1" applyFont="1" applyBorder="1"/>
    <xf numFmtId="3" fontId="31" fillId="0" borderId="21" xfId="2" applyNumberFormat="1" applyFont="1" applyBorder="1" applyProtection="1">
      <protection locked="0"/>
    </xf>
    <xf numFmtId="10" fontId="31" fillId="0" borderId="21" xfId="2" applyNumberFormat="1" applyFont="1" applyBorder="1" applyAlignment="1">
      <alignment horizontal="center"/>
    </xf>
    <xf numFmtId="3" fontId="31" fillId="0" borderId="21" xfId="2" applyNumberFormat="1" applyFont="1" applyBorder="1" applyAlignment="1" applyProtection="1">
      <alignment horizontal="center"/>
      <protection locked="0"/>
    </xf>
    <xf numFmtId="3" fontId="31" fillId="22" borderId="2" xfId="2" applyNumberFormat="1" applyFont="1" applyFill="1" applyBorder="1" applyProtection="1">
      <protection locked="0"/>
    </xf>
    <xf numFmtId="10" fontId="31" fillId="22" borderId="2" xfId="2" applyNumberFormat="1" applyFont="1" applyFill="1" applyBorder="1" applyAlignment="1">
      <alignment horizontal="center"/>
    </xf>
    <xf numFmtId="3" fontId="31" fillId="22" borderId="21" xfId="2" applyNumberFormat="1" applyFont="1" applyFill="1" applyBorder="1" applyProtection="1">
      <protection locked="0"/>
    </xf>
    <xf numFmtId="10" fontId="31" fillId="22" borderId="21" xfId="2" applyNumberFormat="1" applyFont="1" applyFill="1" applyBorder="1" applyAlignment="1">
      <alignment horizontal="center"/>
    </xf>
    <xf numFmtId="3" fontId="31" fillId="0" borderId="21" xfId="2" applyNumberFormat="1" applyFont="1" applyBorder="1"/>
    <xf numFmtId="10" fontId="31" fillId="0" borderId="36" xfId="2" applyNumberFormat="1" applyFont="1" applyBorder="1" applyAlignment="1">
      <alignment horizontal="center"/>
    </xf>
    <xf numFmtId="3" fontId="31" fillId="0" borderId="23" xfId="2" applyNumberFormat="1" applyFont="1" applyBorder="1" applyProtection="1">
      <protection locked="0"/>
    </xf>
    <xf numFmtId="3" fontId="31" fillId="0" borderId="20" xfId="2" applyNumberFormat="1" applyFont="1" applyBorder="1" applyAlignment="1">
      <alignment horizontal="center"/>
    </xf>
    <xf numFmtId="10" fontId="31" fillId="0" borderId="23" xfId="2" applyNumberFormat="1" applyFont="1" applyBorder="1" applyAlignment="1">
      <alignment horizontal="center"/>
    </xf>
    <xf numFmtId="3" fontId="31" fillId="0" borderId="37" xfId="2" applyNumberFormat="1" applyFont="1" applyBorder="1"/>
    <xf numFmtId="0" fontId="31" fillId="0" borderId="20" xfId="2" applyFont="1" applyFill="1" applyBorder="1" applyAlignment="1">
      <alignment horizontal="center" wrapText="1"/>
    </xf>
    <xf numFmtId="10" fontId="31" fillId="0" borderId="21" xfId="2" applyNumberFormat="1" applyFont="1" applyBorder="1"/>
    <xf numFmtId="0" fontId="6" fillId="0" borderId="21" xfId="2" applyBorder="1" applyAlignment="1">
      <alignment horizontal="center"/>
    </xf>
    <xf numFmtId="0" fontId="6" fillId="23" borderId="21" xfId="2" applyFill="1" applyBorder="1" applyAlignment="1">
      <alignment horizontal="center"/>
    </xf>
    <xf numFmtId="0" fontId="31" fillId="0" borderId="21" xfId="2" applyFont="1" applyFill="1" applyBorder="1" applyAlignment="1">
      <alignment horizontal="center" wrapText="1"/>
    </xf>
    <xf numFmtId="10" fontId="31" fillId="0" borderId="21" xfId="2" applyNumberFormat="1" applyFont="1" applyFill="1" applyBorder="1" applyAlignment="1">
      <alignment horizontal="center"/>
    </xf>
    <xf numFmtId="10" fontId="31" fillId="0" borderId="23" xfId="2" applyNumberFormat="1" applyFont="1" applyFill="1" applyBorder="1" applyAlignment="1">
      <alignment horizontal="center"/>
    </xf>
    <xf numFmtId="0" fontId="31" fillId="0" borderId="24" xfId="2" applyFont="1" applyBorder="1" applyAlignment="1">
      <alignment horizontal="justify"/>
    </xf>
    <xf numFmtId="3" fontId="31" fillId="0" borderId="24" xfId="2" applyNumberFormat="1" applyFont="1" applyBorder="1"/>
    <xf numFmtId="3" fontId="31" fillId="0" borderId="2" xfId="2" applyNumberFormat="1" applyFont="1" applyBorder="1" applyProtection="1">
      <protection locked="0"/>
    </xf>
    <xf numFmtId="10" fontId="31" fillId="0" borderId="2" xfId="2" applyNumberFormat="1" applyFont="1" applyBorder="1" applyAlignment="1">
      <alignment horizontal="center"/>
    </xf>
    <xf numFmtId="3" fontId="31" fillId="0" borderId="2" xfId="2" applyNumberFormat="1" applyFont="1" applyBorder="1" applyAlignment="1" applyProtection="1">
      <alignment horizontal="center"/>
      <protection locked="0"/>
    </xf>
    <xf numFmtId="3" fontId="31" fillId="0" borderId="2" xfId="2" applyNumberFormat="1" applyFont="1" applyBorder="1"/>
    <xf numFmtId="10" fontId="31" fillId="0" borderId="4" xfId="2" applyNumberFormat="1" applyFont="1" applyBorder="1" applyAlignment="1">
      <alignment horizontal="center"/>
    </xf>
    <xf numFmtId="3" fontId="31" fillId="0" borderId="25" xfId="2" applyNumberFormat="1" applyFont="1" applyBorder="1" applyProtection="1">
      <protection locked="0"/>
    </xf>
    <xf numFmtId="3" fontId="31" fillId="0" borderId="24" xfId="2" applyNumberFormat="1" applyFont="1" applyBorder="1" applyAlignment="1">
      <alignment horizontal="center"/>
    </xf>
    <xf numFmtId="10" fontId="31" fillId="0" borderId="25" xfId="2" applyNumberFormat="1" applyFont="1" applyBorder="1" applyAlignment="1">
      <alignment horizontal="center"/>
    </xf>
    <xf numFmtId="0" fontId="31" fillId="0" borderId="24" xfId="2" applyFont="1" applyFill="1" applyBorder="1" applyAlignment="1">
      <alignment horizontal="center" wrapText="1"/>
    </xf>
    <xf numFmtId="10" fontId="31" fillId="0" borderId="2" xfId="2" applyNumberFormat="1" applyFont="1" applyBorder="1"/>
    <xf numFmtId="0" fontId="6" fillId="0" borderId="2" xfId="2" applyBorder="1" applyAlignment="1">
      <alignment horizontal="center"/>
    </xf>
    <xf numFmtId="0" fontId="6" fillId="23" borderId="2" xfId="2" applyFill="1" applyBorder="1" applyAlignment="1">
      <alignment horizontal="center"/>
    </xf>
    <xf numFmtId="0" fontId="6" fillId="0" borderId="2" xfId="2" applyFill="1" applyBorder="1" applyAlignment="1">
      <alignment horizontal="center"/>
    </xf>
    <xf numFmtId="0" fontId="31" fillId="0" borderId="2" xfId="2" applyFont="1" applyFill="1" applyBorder="1" applyAlignment="1">
      <alignment horizontal="center" wrapText="1"/>
    </xf>
    <xf numFmtId="10" fontId="31" fillId="0" borderId="25" xfId="2" applyNumberFormat="1" applyFont="1" applyFill="1" applyBorder="1" applyAlignment="1">
      <alignment horizontal="center"/>
    </xf>
    <xf numFmtId="10" fontId="31" fillId="0" borderId="2" xfId="2" applyNumberFormat="1" applyFont="1" applyFill="1" applyBorder="1" applyAlignment="1">
      <alignment horizontal="center"/>
    </xf>
    <xf numFmtId="0" fontId="31" fillId="0" borderId="26" xfId="2" applyFont="1" applyBorder="1" applyAlignment="1">
      <alignment horizontal="justify"/>
    </xf>
    <xf numFmtId="0" fontId="31" fillId="0" borderId="25" xfId="2" applyFont="1" applyBorder="1" applyAlignment="1">
      <alignment horizontal="justify"/>
    </xf>
    <xf numFmtId="0" fontId="31" fillId="0" borderId="27" xfId="2" applyFont="1" applyBorder="1" applyAlignment="1">
      <alignment horizontal="justify"/>
    </xf>
    <xf numFmtId="3" fontId="31" fillId="0" borderId="1" xfId="2" applyNumberFormat="1" applyFont="1" applyBorder="1" applyProtection="1">
      <protection locked="0"/>
    </xf>
    <xf numFmtId="3" fontId="31" fillId="0" borderId="1" xfId="2" applyNumberFormat="1" applyFont="1" applyBorder="1" applyAlignment="1" applyProtection="1">
      <alignment horizontal="center"/>
      <protection locked="0"/>
    </xf>
    <xf numFmtId="3" fontId="31" fillId="22" borderId="1" xfId="2" applyNumberFormat="1" applyFont="1" applyFill="1" applyBorder="1" applyProtection="1">
      <protection locked="0"/>
    </xf>
    <xf numFmtId="3" fontId="31" fillId="0" borderId="38" xfId="2" applyNumberFormat="1" applyFont="1" applyBorder="1" applyProtection="1">
      <protection locked="0"/>
    </xf>
    <xf numFmtId="3" fontId="31" fillId="0" borderId="26" xfId="2" applyNumberFormat="1" applyFont="1" applyBorder="1"/>
    <xf numFmtId="3" fontId="31" fillId="0" borderId="28" xfId="2" applyNumberFormat="1" applyFont="1" applyBorder="1"/>
    <xf numFmtId="10" fontId="31" fillId="0" borderId="6" xfId="2" applyNumberFormat="1" applyFont="1" applyBorder="1" applyAlignment="1">
      <alignment horizontal="center"/>
    </xf>
    <xf numFmtId="10" fontId="31" fillId="22" borderId="5" xfId="2" applyNumberFormat="1" applyFont="1" applyFill="1" applyBorder="1" applyAlignment="1">
      <alignment horizontal="center"/>
    </xf>
    <xf numFmtId="10" fontId="31" fillId="0" borderId="29" xfId="2" applyNumberFormat="1" applyFont="1" applyBorder="1" applyAlignment="1">
      <alignment horizontal="center"/>
    </xf>
    <xf numFmtId="3" fontId="31" fillId="0" borderId="3" xfId="2" applyNumberFormat="1" applyFont="1" applyBorder="1" applyProtection="1">
      <protection locked="0"/>
    </xf>
    <xf numFmtId="3" fontId="31" fillId="0" borderId="3" xfId="2" applyNumberFormat="1" applyFont="1" applyBorder="1" applyAlignment="1" applyProtection="1">
      <alignment horizontal="center"/>
      <protection locked="0"/>
    </xf>
    <xf numFmtId="3" fontId="31" fillId="22" borderId="3" xfId="2" applyNumberFormat="1" applyFont="1" applyFill="1" applyBorder="1" applyProtection="1">
      <protection locked="0"/>
    </xf>
    <xf numFmtId="3" fontId="31" fillId="0" borderId="39" xfId="2" applyNumberFormat="1" applyFont="1" applyBorder="1" applyProtection="1">
      <protection locked="0"/>
    </xf>
    <xf numFmtId="3" fontId="31" fillId="0" borderId="27" xfId="2" applyNumberFormat="1" applyFont="1" applyBorder="1"/>
    <xf numFmtId="10" fontId="31" fillId="22" borderId="4" xfId="2" applyNumberFormat="1" applyFont="1" applyFill="1" applyBorder="1" applyAlignment="1">
      <alignment horizontal="center"/>
    </xf>
    <xf numFmtId="10" fontId="31" fillId="22" borderId="6" xfId="2" applyNumberFormat="1" applyFont="1" applyFill="1" applyBorder="1" applyAlignment="1">
      <alignment horizontal="center"/>
    </xf>
    <xf numFmtId="10" fontId="31" fillId="0" borderId="5" xfId="2" applyNumberFormat="1" applyFont="1" applyBorder="1" applyAlignment="1">
      <alignment horizontal="center"/>
    </xf>
    <xf numFmtId="10" fontId="31" fillId="13" borderId="2" xfId="2" applyNumberFormat="1" applyFont="1" applyFill="1" applyBorder="1" applyAlignment="1" applyProtection="1">
      <alignment horizontal="center"/>
      <protection locked="0"/>
    </xf>
    <xf numFmtId="0" fontId="31" fillId="0" borderId="30" xfId="2" applyFont="1" applyBorder="1" applyAlignment="1">
      <alignment horizontal="justify"/>
    </xf>
    <xf numFmtId="3" fontId="31" fillId="0" borderId="30" xfId="2" applyNumberFormat="1" applyFont="1" applyBorder="1"/>
    <xf numFmtId="3" fontId="31" fillId="0" borderId="31" xfId="2" applyNumberFormat="1" applyFont="1" applyBorder="1" applyProtection="1">
      <protection locked="0"/>
    </xf>
    <xf numFmtId="10" fontId="31" fillId="0" borderId="31" xfId="2" applyNumberFormat="1" applyFont="1" applyBorder="1" applyAlignment="1">
      <alignment horizontal="center"/>
    </xf>
    <xf numFmtId="3" fontId="31" fillId="0" borderId="31" xfId="2" applyNumberFormat="1" applyFont="1" applyBorder="1" applyAlignment="1" applyProtection="1">
      <alignment horizontal="center"/>
      <protection locked="0"/>
    </xf>
    <xf numFmtId="3" fontId="31" fillId="22" borderId="31" xfId="2" applyNumberFormat="1" applyFont="1" applyFill="1" applyBorder="1" applyProtection="1">
      <protection locked="0"/>
    </xf>
    <xf numFmtId="10" fontId="31" fillId="22" borderId="31" xfId="2" applyNumberFormat="1" applyFont="1" applyFill="1" applyBorder="1" applyAlignment="1">
      <alignment horizontal="center"/>
    </xf>
    <xf numFmtId="3" fontId="31" fillId="0" borderId="31" xfId="2" applyNumberFormat="1" applyFont="1" applyBorder="1"/>
    <xf numFmtId="10" fontId="31" fillId="0" borderId="40" xfId="2" applyNumberFormat="1" applyFont="1" applyBorder="1" applyAlignment="1">
      <alignment horizontal="center"/>
    </xf>
    <xf numFmtId="3" fontId="31" fillId="0" borderId="32" xfId="2" applyNumberFormat="1" applyFont="1" applyBorder="1" applyProtection="1">
      <protection locked="0"/>
    </xf>
    <xf numFmtId="3" fontId="31" fillId="0" borderId="30" xfId="2" applyNumberFormat="1" applyFont="1" applyBorder="1" applyAlignment="1">
      <alignment horizontal="center"/>
    </xf>
    <xf numFmtId="10" fontId="31" fillId="0" borderId="32" xfId="2" applyNumberFormat="1" applyFont="1" applyBorder="1" applyAlignment="1">
      <alignment horizontal="center"/>
    </xf>
    <xf numFmtId="0" fontId="31" fillId="0" borderId="30" xfId="2" applyFont="1" applyFill="1" applyBorder="1" applyAlignment="1">
      <alignment horizontal="center" wrapText="1"/>
    </xf>
    <xf numFmtId="10" fontId="31" fillId="0" borderId="31" xfId="2" applyNumberFormat="1" applyFont="1" applyBorder="1"/>
    <xf numFmtId="0" fontId="6" fillId="0" borderId="31" xfId="2" applyBorder="1" applyAlignment="1">
      <alignment horizontal="center"/>
    </xf>
    <xf numFmtId="0" fontId="6" fillId="23" borderId="31" xfId="2" applyFill="1" applyBorder="1" applyAlignment="1">
      <alignment horizontal="center"/>
    </xf>
    <xf numFmtId="0" fontId="6" fillId="0" borderId="31" xfId="2" applyFill="1" applyBorder="1" applyAlignment="1">
      <alignment horizontal="center"/>
    </xf>
    <xf numFmtId="0" fontId="31" fillId="0" borderId="31" xfId="2" applyFont="1" applyFill="1" applyBorder="1" applyAlignment="1">
      <alignment horizontal="center" wrapText="1"/>
    </xf>
    <xf numFmtId="10" fontId="31" fillId="0" borderId="32" xfId="2" applyNumberFormat="1" applyFont="1" applyFill="1" applyBorder="1" applyAlignment="1">
      <alignment horizontal="center"/>
    </xf>
    <xf numFmtId="0" fontId="31" fillId="0" borderId="0" xfId="2" applyFont="1" applyBorder="1" applyAlignment="1">
      <alignment horizontal="justify"/>
    </xf>
    <xf numFmtId="3" fontId="31" fillId="0" borderId="0" xfId="2" applyNumberFormat="1" applyFont="1" applyBorder="1"/>
    <xf numFmtId="10" fontId="31" fillId="0" borderId="0" xfId="2" applyNumberFormat="1" applyFont="1" applyBorder="1" applyAlignment="1">
      <alignment horizontal="center"/>
    </xf>
    <xf numFmtId="10" fontId="31" fillId="0" borderId="0" xfId="2" applyNumberFormat="1" applyFont="1" applyBorder="1"/>
    <xf numFmtId="0" fontId="31" fillId="0" borderId="0" xfId="2" applyFont="1" applyFill="1" applyBorder="1" applyAlignment="1">
      <alignment horizontal="center" wrapText="1"/>
    </xf>
    <xf numFmtId="0" fontId="17" fillId="0" borderId="0" xfId="2" applyFont="1"/>
    <xf numFmtId="0" fontId="6" fillId="0" borderId="41" xfId="2" applyBorder="1" applyAlignment="1">
      <alignment horizontal="center"/>
    </xf>
    <xf numFmtId="0" fontId="6" fillId="0" borderId="0" xfId="2" applyBorder="1" applyAlignment="1">
      <alignment horizontal="center"/>
    </xf>
    <xf numFmtId="0" fontId="6" fillId="0" borderId="42" xfId="2" applyBorder="1" applyAlignment="1">
      <alignment horizontal="center"/>
    </xf>
    <xf numFmtId="0" fontId="31" fillId="0" borderId="0" xfId="2" applyFont="1" applyFill="1" applyBorder="1"/>
    <xf numFmtId="3" fontId="6" fillId="0" borderId="0" xfId="2" applyNumberFormat="1"/>
    <xf numFmtId="0" fontId="6" fillId="0" borderId="2" xfId="2" applyBorder="1" applyAlignment="1">
      <alignment horizontal="center" vertical="center"/>
    </xf>
    <xf numFmtId="0" fontId="6" fillId="0" borderId="41" xfId="2" applyBorder="1"/>
    <xf numFmtId="0" fontId="6" fillId="0" borderId="42" xfId="2" applyBorder="1"/>
    <xf numFmtId="0" fontId="6" fillId="24" borderId="2" xfId="2" applyFill="1" applyBorder="1" applyAlignment="1">
      <alignment horizontal="center"/>
    </xf>
    <xf numFmtId="0" fontId="17" fillId="0" borderId="0" xfId="0" applyFont="1" applyBorder="1" applyAlignment="1"/>
    <xf numFmtId="0" fontId="0" fillId="0" borderId="0" xfId="0" applyBorder="1" applyAlignment="1"/>
    <xf numFmtId="0" fontId="38" fillId="0" borderId="0" xfId="0" applyFont="1" applyBorder="1" applyAlignment="1"/>
    <xf numFmtId="0" fontId="0" fillId="0" borderId="0" xfId="0" applyFill="1" applyBorder="1" applyAlignment="1"/>
    <xf numFmtId="0" fontId="39" fillId="0" borderId="0" xfId="0" applyFont="1" applyBorder="1" applyAlignment="1"/>
    <xf numFmtId="1" fontId="30" fillId="0" borderId="0" xfId="0" applyNumberFormat="1" applyFont="1" applyBorder="1" applyAlignment="1"/>
    <xf numFmtId="1" fontId="30" fillId="0" borderId="9" xfId="0" applyNumberFormat="1" applyFont="1" applyBorder="1" applyAlignment="1"/>
    <xf numFmtId="0" fontId="0" fillId="0" borderId="9" xfId="0" applyBorder="1" applyAlignment="1"/>
    <xf numFmtId="1" fontId="40" fillId="0" borderId="0" xfId="0" applyNumberFormat="1" applyFont="1" applyBorder="1" applyAlignment="1"/>
    <xf numFmtId="0" fontId="0" fillId="0" borderId="9" xfId="0" applyFill="1" applyBorder="1" applyAlignment="1"/>
    <xf numFmtId="0" fontId="41" fillId="0" borderId="9" xfId="0" applyFont="1" applyFill="1" applyBorder="1" applyAlignment="1">
      <alignment horizontal="right"/>
    </xf>
    <xf numFmtId="1" fontId="42" fillId="7" borderId="19" xfId="0" applyNumberFormat="1" applyFont="1" applyFill="1" applyBorder="1" applyAlignment="1">
      <alignment horizontal="center" vertical="center" wrapText="1"/>
    </xf>
    <xf numFmtId="1" fontId="43" fillId="0" borderId="18" xfId="0" applyNumberFormat="1" applyFont="1" applyFill="1" applyBorder="1" applyAlignment="1">
      <alignment horizontal="center" wrapText="1"/>
    </xf>
    <xf numFmtId="1" fontId="20" fillId="0" borderId="35" xfId="0" applyNumberFormat="1" applyFont="1" applyFill="1" applyBorder="1" applyAlignment="1">
      <alignment horizontal="right" wrapText="1"/>
    </xf>
    <xf numFmtId="3" fontId="17" fillId="0" borderId="35" xfId="0" applyNumberFormat="1" applyFont="1" applyFill="1" applyBorder="1" applyAlignment="1">
      <alignment horizontal="right" wrapText="1"/>
    </xf>
    <xf numFmtId="0" fontId="0" fillId="0" borderId="0" xfId="0" applyFill="1"/>
    <xf numFmtId="1" fontId="43" fillId="14" borderId="18" xfId="0" applyNumberFormat="1" applyFont="1" applyFill="1" applyBorder="1" applyAlignment="1">
      <alignment horizontal="center" wrapText="1"/>
    </xf>
    <xf numFmtId="1" fontId="44" fillId="14" borderId="35" xfId="0" applyNumberFormat="1" applyFont="1" applyFill="1" applyBorder="1" applyAlignment="1">
      <alignment horizontal="right" wrapText="1"/>
    </xf>
    <xf numFmtId="10" fontId="44" fillId="14" borderId="35" xfId="5" applyNumberFormat="1" applyFont="1" applyFill="1" applyBorder="1" applyAlignment="1">
      <alignment horizontal="right" wrapText="1"/>
    </xf>
    <xf numFmtId="1" fontId="18" fillId="0" borderId="19" xfId="0" applyNumberFormat="1" applyFont="1" applyBorder="1" applyAlignment="1">
      <alignment horizontal="center" vertical="center"/>
    </xf>
    <xf numFmtId="1" fontId="18" fillId="0" borderId="19" xfId="0" applyNumberFormat="1" applyFont="1" applyBorder="1" applyAlignment="1">
      <alignment horizontal="left" vertical="center"/>
    </xf>
    <xf numFmtId="3" fontId="45" fillId="4" borderId="19" xfId="0" applyNumberFormat="1" applyFont="1" applyFill="1" applyBorder="1" applyAlignment="1">
      <alignment horizontal="right" vertical="center"/>
    </xf>
    <xf numFmtId="3" fontId="18" fillId="0" borderId="19" xfId="0" applyNumberFormat="1" applyFont="1" applyBorder="1" applyAlignment="1">
      <alignment horizontal="right" vertical="center"/>
    </xf>
    <xf numFmtId="3" fontId="18" fillId="0" borderId="19" xfId="0" applyNumberFormat="1" applyFont="1" applyFill="1" applyBorder="1" applyAlignment="1">
      <alignment vertical="center"/>
    </xf>
    <xf numFmtId="1" fontId="18" fillId="15" borderId="19" xfId="0" applyNumberFormat="1" applyFont="1" applyFill="1" applyBorder="1" applyAlignment="1">
      <alignment horizontal="center" vertical="center"/>
    </xf>
    <xf numFmtId="1" fontId="18" fillId="15" borderId="19" xfId="0" applyNumberFormat="1" applyFont="1" applyFill="1" applyBorder="1" applyAlignment="1">
      <alignment horizontal="left" vertical="center"/>
    </xf>
    <xf numFmtId="3" fontId="18" fillId="15" borderId="19" xfId="0" applyNumberFormat="1" applyFont="1" applyFill="1" applyBorder="1" applyAlignment="1">
      <alignment horizontal="right" vertical="center"/>
    </xf>
    <xf numFmtId="3" fontId="46" fillId="16" borderId="19" xfId="0" applyNumberFormat="1" applyFont="1" applyFill="1" applyBorder="1" applyAlignment="1">
      <alignment horizontal="right" vertical="center"/>
    </xf>
    <xf numFmtId="3" fontId="18" fillId="15" borderId="19" xfId="0" applyNumberFormat="1" applyFont="1" applyFill="1" applyBorder="1" applyAlignment="1">
      <alignment vertical="center"/>
    </xf>
    <xf numFmtId="3" fontId="46" fillId="6" borderId="19" xfId="0" applyNumberFormat="1" applyFont="1" applyFill="1" applyBorder="1" applyAlignment="1">
      <alignment horizontal="right" vertical="center"/>
    </xf>
    <xf numFmtId="0" fontId="10" fillId="0" borderId="0" xfId="0" applyFont="1"/>
    <xf numFmtId="0" fontId="13" fillId="0" borderId="0" xfId="0" applyFont="1"/>
    <xf numFmtId="0" fontId="47" fillId="0" borderId="0" xfId="0" applyFont="1"/>
    <xf numFmtId="0" fontId="48" fillId="0" borderId="0" xfId="0" applyFont="1"/>
    <xf numFmtId="3" fontId="0" fillId="0" borderId="0" xfId="0" applyNumberFormat="1" applyAlignment="1">
      <alignment horizontal="center"/>
    </xf>
    <xf numFmtId="0" fontId="1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3" fontId="17" fillId="0" borderId="0" xfId="0" applyNumberFormat="1" applyFont="1" applyAlignment="1">
      <alignment horizontal="centerContinuous"/>
    </xf>
    <xf numFmtId="0" fontId="49" fillId="0" borderId="0" xfId="0" applyFont="1" applyAlignment="1">
      <alignment horizontal="centerContinuous"/>
    </xf>
    <xf numFmtId="0" fontId="50" fillId="0" borderId="0" xfId="0" applyFont="1" applyAlignment="1">
      <alignment horizontal="centerContinuous"/>
    </xf>
    <xf numFmtId="0" fontId="17" fillId="3" borderId="13" xfId="0" applyFont="1" applyFill="1" applyBorder="1" applyAlignment="1">
      <alignment horizontal="centerContinuous" vertical="center" wrapText="1"/>
    </xf>
    <xf numFmtId="0" fontId="6" fillId="3" borderId="13" xfId="0" applyFont="1" applyFill="1" applyBorder="1" applyAlignment="1">
      <alignment horizontal="centerContinuous"/>
    </xf>
    <xf numFmtId="0" fontId="17" fillId="3" borderId="19" xfId="0" applyFont="1" applyFill="1" applyBorder="1" applyAlignment="1">
      <alignment horizontal="centerContinuous"/>
    </xf>
    <xf numFmtId="164" fontId="17" fillId="3" borderId="19" xfId="0" applyNumberFormat="1" applyFont="1" applyFill="1" applyBorder="1" applyAlignment="1">
      <alignment horizontal="centerContinuous"/>
    </xf>
    <xf numFmtId="0" fontId="17" fillId="3" borderId="13" xfId="0" applyFont="1" applyFill="1" applyBorder="1" applyAlignment="1">
      <alignment horizontal="centerContinuous"/>
    </xf>
    <xf numFmtId="0" fontId="17" fillId="3" borderId="13" xfId="0" applyFont="1" applyFill="1" applyBorder="1" applyAlignment="1">
      <alignment horizontal="center"/>
    </xf>
    <xf numFmtId="0" fontId="27" fillId="3" borderId="13" xfId="0" applyFont="1" applyFill="1" applyBorder="1" applyAlignment="1"/>
    <xf numFmtId="0" fontId="27" fillId="0" borderId="0" xfId="0" applyFont="1" applyFill="1" applyBorder="1" applyAlignment="1">
      <alignment horizontal="centerContinuous"/>
    </xf>
    <xf numFmtId="0" fontId="17" fillId="3" borderId="17" xfId="0" applyFont="1" applyFill="1" applyBorder="1" applyAlignment="1">
      <alignment horizontal="centerContinuous" vertical="center" wrapText="1"/>
    </xf>
    <xf numFmtId="0" fontId="17" fillId="3" borderId="43" xfId="0" applyFont="1" applyFill="1" applyBorder="1" applyAlignment="1">
      <alignment horizontal="centerContinuous" vertical="center" wrapText="1"/>
    </xf>
    <xf numFmtId="0" fontId="13" fillId="3" borderId="13" xfId="0" applyFont="1" applyFill="1" applyBorder="1" applyAlignment="1">
      <alignment horizontal="center"/>
    </xf>
    <xf numFmtId="164" fontId="6" fillId="3" borderId="13" xfId="0" applyNumberFormat="1" applyFont="1" applyFill="1" applyBorder="1" applyAlignment="1">
      <alignment horizontal="center"/>
    </xf>
    <xf numFmtId="0" fontId="6" fillId="3" borderId="18" xfId="0" applyFont="1" applyFill="1" applyBorder="1"/>
    <xf numFmtId="0" fontId="12" fillId="3" borderId="18" xfId="0" applyFont="1" applyFill="1" applyBorder="1" applyAlignment="1"/>
    <xf numFmtId="0" fontId="12" fillId="0" borderId="0" xfId="0" applyFont="1" applyFill="1" applyBorder="1" applyAlignment="1">
      <alignment horizontal="center"/>
    </xf>
    <xf numFmtId="3" fontId="17" fillId="3" borderId="19" xfId="0" applyNumberFormat="1" applyFont="1" applyFill="1" applyBorder="1"/>
    <xf numFmtId="10" fontId="17" fillId="3" borderId="19" xfId="0" applyNumberFormat="1" applyFont="1" applyFill="1" applyBorder="1"/>
    <xf numFmtId="3" fontId="17" fillId="3" borderId="19" xfId="0" applyNumberFormat="1" applyFont="1" applyFill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0" fontId="6" fillId="0" borderId="20" xfId="0" applyFont="1" applyFill="1" applyBorder="1"/>
    <xf numFmtId="0" fontId="31" fillId="0" borderId="23" xfId="0" applyFont="1" applyFill="1" applyBorder="1"/>
    <xf numFmtId="3" fontId="31" fillId="0" borderId="20" xfId="0" applyNumberFormat="1" applyFont="1" applyFill="1" applyBorder="1"/>
    <xf numFmtId="10" fontId="31" fillId="0" borderId="21" xfId="0" applyNumberFormat="1" applyFont="1" applyFill="1" applyBorder="1"/>
    <xf numFmtId="3" fontId="31" fillId="0" borderId="21" xfId="0" applyNumberFormat="1" applyFont="1" applyFill="1" applyBorder="1"/>
    <xf numFmtId="3" fontId="31" fillId="0" borderId="23" xfId="0" applyNumberFormat="1" applyFont="1" applyFill="1" applyBorder="1"/>
    <xf numFmtId="3" fontId="31" fillId="0" borderId="44" xfId="0" applyNumberFormat="1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31" fillId="0" borderId="25" xfId="0" applyFont="1" applyFill="1" applyBorder="1"/>
    <xf numFmtId="3" fontId="31" fillId="0" borderId="24" xfId="0" applyNumberFormat="1" applyFont="1" applyFill="1" applyBorder="1"/>
    <xf numFmtId="10" fontId="31" fillId="0" borderId="2" xfId="0" applyNumberFormat="1" applyFont="1" applyFill="1" applyBorder="1"/>
    <xf numFmtId="3" fontId="31" fillId="0" borderId="2" xfId="0" applyNumberFormat="1" applyFont="1" applyFill="1" applyBorder="1"/>
    <xf numFmtId="3" fontId="31" fillId="0" borderId="25" xfId="0" applyNumberFormat="1" applyFont="1" applyFill="1" applyBorder="1"/>
    <xf numFmtId="3" fontId="31" fillId="0" borderId="45" xfId="0" applyNumberFormat="1" applyFont="1" applyFill="1" applyBorder="1" applyAlignment="1">
      <alignment horizontal="center"/>
    </xf>
    <xf numFmtId="0" fontId="25" fillId="0" borderId="25" xfId="0" applyFont="1" applyFill="1" applyBorder="1"/>
    <xf numFmtId="3" fontId="53" fillId="0" borderId="24" xfId="0" applyNumberFormat="1" applyFont="1" applyFill="1" applyBorder="1"/>
    <xf numFmtId="0" fontId="31" fillId="0" borderId="38" xfId="0" applyFont="1" applyFill="1" applyBorder="1"/>
    <xf numFmtId="0" fontId="25" fillId="0" borderId="38" xfId="0" applyFont="1" applyFill="1" applyBorder="1"/>
    <xf numFmtId="0" fontId="31" fillId="0" borderId="32" xfId="0" applyFont="1" applyFill="1" applyBorder="1"/>
    <xf numFmtId="3" fontId="31" fillId="0" borderId="30" xfId="0" applyNumberFormat="1" applyFont="1" applyFill="1" applyBorder="1"/>
    <xf numFmtId="10" fontId="31" fillId="0" borderId="31" xfId="0" applyNumberFormat="1" applyFont="1" applyFill="1" applyBorder="1"/>
    <xf numFmtId="3" fontId="31" fillId="0" borderId="31" xfId="0" applyNumberFormat="1" applyFont="1" applyFill="1" applyBorder="1"/>
    <xf numFmtId="3" fontId="31" fillId="0" borderId="32" xfId="0" applyNumberFormat="1" applyFont="1" applyFill="1" applyBorder="1"/>
    <xf numFmtId="3" fontId="31" fillId="0" borderId="46" xfId="0" applyNumberFormat="1" applyFont="1" applyFill="1" applyBorder="1" applyAlignment="1">
      <alignment horizontal="center"/>
    </xf>
    <xf numFmtId="0" fontId="41" fillId="0" borderId="0" xfId="0" applyFont="1" applyAlignment="1">
      <alignment horizontal="right"/>
    </xf>
    <xf numFmtId="1" fontId="13" fillId="0" borderId="18" xfId="0" applyNumberFormat="1" applyFont="1" applyBorder="1" applyAlignment="1">
      <alignment horizontal="center" vertical="center"/>
    </xf>
    <xf numFmtId="1" fontId="13" fillId="0" borderId="35" xfId="0" applyNumberFormat="1" applyFont="1" applyBorder="1" applyAlignment="1">
      <alignment horizontal="left" vertical="center"/>
    </xf>
    <xf numFmtId="166" fontId="13" fillId="0" borderId="35" xfId="0" applyNumberFormat="1" applyFont="1" applyBorder="1" applyAlignment="1">
      <alignment horizontal="right" vertical="center"/>
    </xf>
    <xf numFmtId="166" fontId="13" fillId="0" borderId="19" xfId="0" applyNumberFormat="1" applyFont="1" applyFill="1" applyBorder="1" applyAlignment="1">
      <alignment vertical="center"/>
    </xf>
    <xf numFmtId="166" fontId="13" fillId="0" borderId="35" xfId="0" applyNumberFormat="1" applyFont="1" applyFill="1" applyBorder="1" applyAlignment="1">
      <alignment horizontal="right" vertical="center"/>
    </xf>
    <xf numFmtId="3" fontId="13" fillId="0" borderId="18" xfId="0" applyNumberFormat="1" applyFont="1" applyBorder="1" applyAlignment="1">
      <alignment horizontal="right" vertical="center"/>
    </xf>
    <xf numFmtId="3" fontId="13" fillId="0" borderId="35" xfId="0" applyNumberFormat="1" applyFont="1" applyBorder="1" applyAlignment="1">
      <alignment horizontal="right" vertical="center"/>
    </xf>
    <xf numFmtId="1" fontId="13" fillId="15" borderId="18" xfId="0" applyNumberFormat="1" applyFont="1" applyFill="1" applyBorder="1" applyAlignment="1">
      <alignment horizontal="center" vertical="center"/>
    </xf>
    <xf numFmtId="1" fontId="13" fillId="15" borderId="35" xfId="0" applyNumberFormat="1" applyFont="1" applyFill="1" applyBorder="1" applyAlignment="1">
      <alignment horizontal="left" vertical="center"/>
    </xf>
    <xf numFmtId="166" fontId="13" fillId="15" borderId="35" xfId="0" applyNumberFormat="1" applyFont="1" applyFill="1" applyBorder="1" applyAlignment="1">
      <alignment horizontal="right" vertical="center"/>
    </xf>
    <xf numFmtId="166" fontId="46" fillId="6" borderId="35" xfId="0" applyNumberFormat="1" applyFont="1" applyFill="1" applyBorder="1" applyAlignment="1">
      <alignment horizontal="right" vertical="center"/>
    </xf>
    <xf numFmtId="166" fontId="13" fillId="15" borderId="19" xfId="0" applyNumberFormat="1" applyFont="1" applyFill="1" applyBorder="1" applyAlignment="1">
      <alignment vertical="center"/>
    </xf>
    <xf numFmtId="3" fontId="13" fillId="15" borderId="18" xfId="0" applyNumberFormat="1" applyFont="1" applyFill="1" applyBorder="1" applyAlignment="1">
      <alignment horizontal="right" vertical="center"/>
    </xf>
    <xf numFmtId="3" fontId="13" fillId="15" borderId="35" xfId="0" applyNumberFormat="1" applyFont="1" applyFill="1" applyBorder="1" applyAlignment="1">
      <alignment horizontal="right" vertical="center"/>
    </xf>
    <xf numFmtId="166" fontId="46" fillId="17" borderId="35" xfId="0" applyNumberFormat="1" applyFont="1" applyFill="1" applyBorder="1" applyAlignment="1">
      <alignment horizontal="right" vertical="center"/>
    </xf>
    <xf numFmtId="166" fontId="46" fillId="18" borderId="35" xfId="0" applyNumberFormat="1" applyFont="1" applyFill="1" applyBorder="1" applyAlignment="1">
      <alignment horizontal="right" vertical="center"/>
    </xf>
    <xf numFmtId="166" fontId="46" fillId="5" borderId="35" xfId="0" applyNumberFormat="1" applyFont="1" applyFill="1" applyBorder="1" applyAlignment="1">
      <alignment horizontal="right" vertical="center"/>
    </xf>
    <xf numFmtId="0" fontId="0" fillId="25" borderId="0" xfId="0" applyFill="1"/>
    <xf numFmtId="14" fontId="0" fillId="0" borderId="0" xfId="0" applyNumberFormat="1"/>
    <xf numFmtId="0" fontId="54" fillId="19" borderId="19" xfId="0" applyFont="1" applyFill="1" applyBorder="1"/>
    <xf numFmtId="0" fontId="54" fillId="19" borderId="19" xfId="0" applyFont="1" applyFill="1" applyBorder="1" applyAlignment="1">
      <alignment horizontal="justify"/>
    </xf>
    <xf numFmtId="0" fontId="60" fillId="26" borderId="13" xfId="0" applyFont="1" applyFill="1" applyBorder="1" applyAlignment="1">
      <alignment horizontal="center" vertical="center"/>
    </xf>
    <xf numFmtId="0" fontId="60" fillId="27" borderId="13" xfId="0" applyFont="1" applyFill="1" applyBorder="1" applyAlignment="1">
      <alignment horizontal="center" vertical="center"/>
    </xf>
    <xf numFmtId="0" fontId="54" fillId="28" borderId="13" xfId="0" applyFont="1" applyFill="1" applyBorder="1" applyAlignment="1">
      <alignment horizontal="center" vertical="center"/>
    </xf>
    <xf numFmtId="0" fontId="61" fillId="29" borderId="13" xfId="0" applyFont="1" applyFill="1" applyBorder="1" applyAlignment="1">
      <alignment horizontal="center" vertical="center"/>
    </xf>
    <xf numFmtId="0" fontId="60" fillId="30" borderId="13" xfId="0" applyFont="1" applyFill="1" applyBorder="1" applyAlignment="1">
      <alignment horizontal="center" vertical="center"/>
    </xf>
    <xf numFmtId="0" fontId="17" fillId="31" borderId="13" xfId="0" applyFont="1" applyFill="1" applyBorder="1" applyAlignment="1">
      <alignment horizontal="center" vertical="center"/>
    </xf>
    <xf numFmtId="0" fontId="54" fillId="32" borderId="13" xfId="0" applyFont="1" applyFill="1" applyBorder="1" applyAlignment="1">
      <alignment horizontal="center" vertical="center"/>
    </xf>
    <xf numFmtId="0" fontId="60" fillId="33" borderId="13" xfId="0" applyFont="1" applyFill="1" applyBorder="1" applyAlignment="1">
      <alignment horizontal="center" vertical="center"/>
    </xf>
    <xf numFmtId="0" fontId="60" fillId="34" borderId="13" xfId="0" applyFont="1" applyFill="1" applyBorder="1" applyAlignment="1">
      <alignment horizontal="center" vertical="center"/>
    </xf>
    <xf numFmtId="0" fontId="17" fillId="35" borderId="13" xfId="0" applyFont="1" applyFill="1" applyBorder="1" applyAlignment="1">
      <alignment horizontal="center" vertical="center"/>
    </xf>
    <xf numFmtId="0" fontId="62" fillId="19" borderId="13" xfId="0" applyFont="1" applyFill="1" applyBorder="1" applyAlignment="1">
      <alignment horizontal="center" vertical="center"/>
    </xf>
    <xf numFmtId="0" fontId="61" fillId="26" borderId="13" xfId="0" applyFont="1" applyFill="1" applyBorder="1" applyAlignment="1">
      <alignment horizontal="center" vertical="center"/>
    </xf>
    <xf numFmtId="0" fontId="54" fillId="36" borderId="13" xfId="0" applyFont="1" applyFill="1" applyBorder="1" applyAlignment="1">
      <alignment horizontal="justify" vertical="center"/>
    </xf>
    <xf numFmtId="0" fontId="54" fillId="37" borderId="13" xfId="0" applyFont="1" applyFill="1" applyBorder="1" applyAlignment="1">
      <alignment horizontal="justify" vertical="center"/>
    </xf>
    <xf numFmtId="0" fontId="54" fillId="38" borderId="13" xfId="0" applyFont="1" applyFill="1" applyBorder="1" applyAlignment="1">
      <alignment horizontal="justify" vertical="center"/>
    </xf>
    <xf numFmtId="0" fontId="27" fillId="3" borderId="13" xfId="0" applyFont="1" applyFill="1" applyBorder="1" applyAlignment="1">
      <alignment horizontal="justify" vertical="center"/>
    </xf>
    <xf numFmtId="3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justify"/>
    </xf>
    <xf numFmtId="3" fontId="0" fillId="0" borderId="19" xfId="0" applyNumberFormat="1" applyBorder="1"/>
    <xf numFmtId="9" fontId="0" fillId="0" borderId="10" xfId="4" applyNumberFormat="1" applyFont="1" applyFill="1" applyBorder="1" applyAlignment="1">
      <alignment horizontal="center"/>
    </xf>
    <xf numFmtId="3" fontId="0" fillId="0" borderId="47" xfId="0" applyNumberFormat="1" applyBorder="1"/>
    <xf numFmtId="3" fontId="0" fillId="0" borderId="48" xfId="0" applyNumberFormat="1" applyBorder="1"/>
    <xf numFmtId="3" fontId="0" fillId="39" borderId="48" xfId="0" applyNumberFormat="1" applyFill="1" applyBorder="1" applyAlignment="1">
      <alignment horizontal="center"/>
    </xf>
    <xf numFmtId="3" fontId="0" fillId="0" borderId="49" xfId="0" applyNumberFormat="1" applyBorder="1"/>
    <xf numFmtId="10" fontId="0" fillId="0" borderId="50" xfId="0" applyNumberFormat="1" applyBorder="1" applyAlignment="1">
      <alignment horizontal="center"/>
    </xf>
    <xf numFmtId="3" fontId="0" fillId="39" borderId="47" xfId="0" applyNumberFormat="1" applyFill="1" applyBorder="1"/>
    <xf numFmtId="3" fontId="0" fillId="39" borderId="49" xfId="0" applyNumberFormat="1" applyFill="1" applyBorder="1"/>
    <xf numFmtId="0" fontId="31" fillId="0" borderId="47" xfId="0" applyFont="1" applyFill="1" applyBorder="1" applyAlignment="1">
      <alignment horizontal="center" wrapText="1"/>
    </xf>
    <xf numFmtId="0" fontId="31" fillId="0" borderId="48" xfId="0" applyFont="1" applyFill="1" applyBorder="1" applyAlignment="1">
      <alignment horizontal="center"/>
    </xf>
    <xf numFmtId="0" fontId="31" fillId="0" borderId="48" xfId="0" applyFont="1" applyFill="1" applyBorder="1" applyAlignment="1">
      <alignment horizontal="center" wrapText="1"/>
    </xf>
    <xf numFmtId="3" fontId="31" fillId="0" borderId="48" xfId="0" applyNumberFormat="1" applyFont="1" applyBorder="1"/>
    <xf numFmtId="10" fontId="31" fillId="0" borderId="49" xfId="0" applyNumberFormat="1" applyFont="1" applyBorder="1"/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3" fontId="0" fillId="39" borderId="48" xfId="0" applyNumberFormat="1" applyFill="1" applyBorder="1"/>
    <xf numFmtId="10" fontId="31" fillId="0" borderId="49" xfId="0" applyNumberFormat="1" applyFont="1" applyFill="1" applyBorder="1" applyAlignment="1">
      <alignment horizontal="center"/>
    </xf>
    <xf numFmtId="3" fontId="31" fillId="0" borderId="47" xfId="0" applyNumberFormat="1" applyFont="1" applyBorder="1"/>
    <xf numFmtId="3" fontId="0" fillId="0" borderId="51" xfId="0" applyNumberFormat="1" applyBorder="1"/>
    <xf numFmtId="3" fontId="0" fillId="0" borderId="2" xfId="0" applyNumberFormat="1" applyBorder="1"/>
    <xf numFmtId="3" fontId="0" fillId="39" borderId="2" xfId="0" applyNumberFormat="1" applyFill="1" applyBorder="1" applyAlignment="1">
      <alignment horizontal="center"/>
    </xf>
    <xf numFmtId="3" fontId="0" fillId="0" borderId="52" xfId="0" applyNumberFormat="1" applyBorder="1"/>
    <xf numFmtId="10" fontId="0" fillId="0" borderId="6" xfId="0" applyNumberFormat="1" applyBorder="1" applyAlignment="1">
      <alignment horizontal="center"/>
    </xf>
    <xf numFmtId="3" fontId="0" fillId="39" borderId="52" xfId="0" applyNumberFormat="1" applyFill="1" applyBorder="1"/>
    <xf numFmtId="0" fontId="31" fillId="0" borderId="51" xfId="0" applyFont="1" applyFill="1" applyBorder="1" applyAlignment="1">
      <alignment horizontal="center" wrapText="1"/>
    </xf>
    <xf numFmtId="0" fontId="31" fillId="0" borderId="2" xfId="0" applyFont="1" applyFill="1" applyBorder="1" applyAlignment="1">
      <alignment horizontal="center"/>
    </xf>
    <xf numFmtId="10" fontId="31" fillId="0" borderId="52" xfId="0" applyNumberFormat="1" applyFont="1" applyBorder="1"/>
    <xf numFmtId="0" fontId="0" fillId="0" borderId="51" xfId="0" applyBorder="1" applyAlignment="1">
      <alignment horizontal="center"/>
    </xf>
    <xf numFmtId="3" fontId="0" fillId="39" borderId="2" xfId="0" applyNumberFormat="1" applyFill="1" applyBorder="1"/>
    <xf numFmtId="0" fontId="0" fillId="0" borderId="2" xfId="0" applyBorder="1" applyAlignment="1">
      <alignment horizontal="center"/>
    </xf>
    <xf numFmtId="10" fontId="31" fillId="0" borderId="52" xfId="0" applyNumberFormat="1" applyFont="1" applyFill="1" applyBorder="1" applyAlignment="1">
      <alignment horizontal="center"/>
    </xf>
    <xf numFmtId="3" fontId="31" fillId="0" borderId="51" xfId="0" applyNumberFormat="1" applyFont="1" applyBorder="1"/>
    <xf numFmtId="9" fontId="55" fillId="0" borderId="10" xfId="4" applyNumberFormat="1" applyFont="1" applyFill="1" applyBorder="1" applyAlignment="1">
      <alignment horizontal="center"/>
    </xf>
    <xf numFmtId="3" fontId="0" fillId="39" borderId="51" xfId="0" applyNumberFormat="1" applyFill="1" applyBorder="1"/>
    <xf numFmtId="0" fontId="0" fillId="0" borderId="52" xfId="0" applyBorder="1" applyAlignment="1">
      <alignment horizontal="center"/>
    </xf>
    <xf numFmtId="0" fontId="0" fillId="0" borderId="51" xfId="0" applyBorder="1"/>
    <xf numFmtId="3" fontId="0" fillId="0" borderId="2" xfId="0" applyNumberFormat="1" applyFill="1" applyBorder="1"/>
    <xf numFmtId="10" fontId="0" fillId="0" borderId="10" xfId="4" applyNumberFormat="1" applyFont="1" applyFill="1" applyBorder="1" applyAlignment="1">
      <alignment horizontal="center"/>
    </xf>
    <xf numFmtId="3" fontId="0" fillId="39" borderId="51" xfId="0" applyNumberForma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justify"/>
    </xf>
    <xf numFmtId="3" fontId="0" fillId="0" borderId="13" xfId="0" applyNumberFormat="1" applyBorder="1"/>
    <xf numFmtId="3" fontId="0" fillId="0" borderId="53" xfId="0" applyNumberFormat="1" applyBorder="1"/>
    <xf numFmtId="3" fontId="0" fillId="0" borderId="54" xfId="0" applyNumberFormat="1" applyBorder="1"/>
    <xf numFmtId="3" fontId="0" fillId="39" borderId="54" xfId="0" applyNumberFormat="1" applyFill="1" applyBorder="1"/>
    <xf numFmtId="3" fontId="0" fillId="39" borderId="54" xfId="0" applyNumberFormat="1" applyFill="1" applyBorder="1" applyAlignment="1">
      <alignment horizontal="center"/>
    </xf>
    <xf numFmtId="3" fontId="0" fillId="0" borderId="55" xfId="0" applyNumberFormat="1" applyBorder="1"/>
    <xf numFmtId="10" fontId="0" fillId="0" borderId="56" xfId="0" applyNumberFormat="1" applyBorder="1" applyAlignment="1">
      <alignment horizontal="center"/>
    </xf>
    <xf numFmtId="3" fontId="0" fillId="39" borderId="55" xfId="0" applyNumberFormat="1" applyFill="1" applyBorder="1"/>
    <xf numFmtId="0" fontId="31" fillId="0" borderId="53" xfId="0" applyFont="1" applyFill="1" applyBorder="1" applyAlignment="1">
      <alignment horizontal="center" wrapText="1"/>
    </xf>
    <xf numFmtId="0" fontId="31" fillId="0" borderId="54" xfId="0" applyFont="1" applyFill="1" applyBorder="1" applyAlignment="1">
      <alignment horizontal="center"/>
    </xf>
    <xf numFmtId="0" fontId="31" fillId="0" borderId="54" xfId="0" applyFont="1" applyFill="1" applyBorder="1" applyAlignment="1">
      <alignment horizontal="center" wrapText="1"/>
    </xf>
    <xf numFmtId="3" fontId="31" fillId="0" borderId="54" xfId="0" applyNumberFormat="1" applyFont="1" applyBorder="1"/>
    <xf numFmtId="10" fontId="31" fillId="0" borderId="55" xfId="0" applyNumberFormat="1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0" fontId="31" fillId="0" borderId="55" xfId="0" applyNumberFormat="1" applyFont="1" applyFill="1" applyBorder="1" applyAlignment="1">
      <alignment horizontal="center"/>
    </xf>
    <xf numFmtId="3" fontId="31" fillId="0" borderId="53" xfId="0" applyNumberFormat="1" applyFont="1" applyBorder="1"/>
    <xf numFmtId="0" fontId="0" fillId="0" borderId="15" xfId="0" applyBorder="1"/>
    <xf numFmtId="0" fontId="54" fillId="0" borderId="15" xfId="0" applyFont="1" applyBorder="1" applyAlignment="1">
      <alignment horizontal="justify"/>
    </xf>
    <xf numFmtId="3" fontId="54" fillId="0" borderId="15" xfId="0" applyNumberFormat="1" applyFont="1" applyBorder="1" applyAlignment="1">
      <alignment horizontal="right"/>
    </xf>
    <xf numFmtId="3" fontId="54" fillId="0" borderId="57" xfId="0" applyNumberFormat="1" applyFont="1" applyFill="1" applyBorder="1" applyAlignment="1">
      <alignment horizontal="center"/>
    </xf>
    <xf numFmtId="3" fontId="54" fillId="0" borderId="58" xfId="0" applyNumberFormat="1" applyFont="1" applyFill="1" applyBorder="1" applyAlignment="1">
      <alignment horizontal="center"/>
    </xf>
    <xf numFmtId="10" fontId="54" fillId="0" borderId="58" xfId="4" applyNumberFormat="1" applyFont="1" applyBorder="1" applyAlignment="1">
      <alignment horizontal="center"/>
    </xf>
    <xf numFmtId="3" fontId="54" fillId="0" borderId="59" xfId="0" applyNumberFormat="1" applyFont="1" applyBorder="1"/>
    <xf numFmtId="3" fontId="54" fillId="0" borderId="60" xfId="0" applyNumberFormat="1" applyFont="1" applyBorder="1"/>
    <xf numFmtId="3" fontId="54" fillId="0" borderId="0" xfId="0" applyNumberFormat="1" applyFont="1" applyBorder="1"/>
    <xf numFmtId="3" fontId="0" fillId="0" borderId="0" xfId="0" applyNumberFormat="1" applyBorder="1"/>
    <xf numFmtId="9" fontId="0" fillId="0" borderId="0" xfId="4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7" fillId="40" borderId="64" xfId="0" applyFont="1" applyFill="1" applyBorder="1" applyAlignment="1">
      <alignment horizontal="center" vertical="center" wrapText="1"/>
    </xf>
    <xf numFmtId="0" fontId="57" fillId="40" borderId="65" xfId="0" applyFont="1" applyFill="1" applyBorder="1" applyAlignment="1">
      <alignment horizontal="center" vertical="center" wrapText="1"/>
    </xf>
    <xf numFmtId="0" fontId="63" fillId="41" borderId="66" xfId="0" applyFont="1" applyFill="1" applyBorder="1" applyAlignment="1">
      <alignment horizontal="center" vertical="center" wrapText="1"/>
    </xf>
    <xf numFmtId="0" fontId="63" fillId="41" borderId="67" xfId="0" applyFont="1" applyFill="1" applyBorder="1" applyAlignment="1">
      <alignment horizontal="center" vertical="center" wrapText="1"/>
    </xf>
    <xf numFmtId="0" fontId="63" fillId="41" borderId="68" xfId="0" applyFont="1" applyFill="1" applyBorder="1" applyAlignment="1">
      <alignment horizontal="center" vertical="center" wrapText="1"/>
    </xf>
    <xf numFmtId="0" fontId="57" fillId="42" borderId="66" xfId="0" applyFont="1" applyFill="1" applyBorder="1" applyAlignment="1">
      <alignment horizontal="center" vertical="center" wrapText="1"/>
    </xf>
    <xf numFmtId="0" fontId="57" fillId="42" borderId="67" xfId="0" applyFont="1" applyFill="1" applyBorder="1" applyAlignment="1">
      <alignment horizontal="center" vertical="center" wrapText="1"/>
    </xf>
    <xf numFmtId="0" fontId="57" fillId="42" borderId="68" xfId="0" applyFont="1" applyFill="1" applyBorder="1" applyAlignment="1">
      <alignment horizontal="center" vertical="center" wrapText="1"/>
    </xf>
    <xf numFmtId="0" fontId="57" fillId="40" borderId="72" xfId="0" applyFont="1" applyFill="1" applyBorder="1" applyAlignment="1">
      <alignment horizontal="center" vertical="center" wrapText="1"/>
    </xf>
    <xf numFmtId="3" fontId="57" fillId="40" borderId="72" xfId="0" applyNumberFormat="1" applyFont="1" applyFill="1" applyBorder="1" applyAlignment="1">
      <alignment horizontal="center" vertical="center" wrapText="1"/>
    </xf>
    <xf numFmtId="3" fontId="57" fillId="40" borderId="73" xfId="0" applyNumberFormat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0" fontId="27" fillId="3" borderId="13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/>
    </xf>
    <xf numFmtId="0" fontId="0" fillId="0" borderId="12" xfId="0" applyBorder="1"/>
    <xf numFmtId="0" fontId="28" fillId="5" borderId="10" xfId="0" applyFont="1" applyFill="1" applyBorder="1" applyAlignment="1">
      <alignment horizontal="center"/>
    </xf>
    <xf numFmtId="0" fontId="28" fillId="5" borderId="12" xfId="0" applyFont="1" applyFill="1" applyBorder="1" applyAlignment="1">
      <alignment horizontal="center"/>
    </xf>
    <xf numFmtId="0" fontId="27" fillId="6" borderId="10" xfId="0" applyFont="1" applyFill="1" applyBorder="1" applyAlignment="1">
      <alignment horizontal="center"/>
    </xf>
    <xf numFmtId="0" fontId="27" fillId="6" borderId="12" xfId="0" applyFont="1" applyFill="1" applyBorder="1" applyAlignment="1">
      <alignment horizontal="center"/>
    </xf>
    <xf numFmtId="0" fontId="29" fillId="7" borderId="10" xfId="0" applyFont="1" applyFill="1" applyBorder="1" applyAlignment="1">
      <alignment horizontal="center"/>
    </xf>
    <xf numFmtId="0" fontId="29" fillId="7" borderId="12" xfId="0" applyFont="1" applyFill="1" applyBorder="1" applyAlignment="1">
      <alignment horizontal="center"/>
    </xf>
    <xf numFmtId="0" fontId="27" fillId="8" borderId="10" xfId="0" applyFont="1" applyFill="1" applyBorder="1" applyAlignment="1">
      <alignment horizontal="center"/>
    </xf>
    <xf numFmtId="0" fontId="27" fillId="8" borderId="12" xfId="0" applyFont="1" applyFill="1" applyBorder="1" applyAlignment="1">
      <alignment horizontal="center"/>
    </xf>
    <xf numFmtId="0" fontId="27" fillId="9" borderId="10" xfId="0" applyFont="1" applyFill="1" applyBorder="1" applyAlignment="1">
      <alignment horizontal="center"/>
    </xf>
    <xf numFmtId="0" fontId="27" fillId="9" borderId="12" xfId="0" applyFont="1" applyFill="1" applyBorder="1" applyAlignment="1">
      <alignment horizontal="center"/>
    </xf>
    <xf numFmtId="0" fontId="27" fillId="10" borderId="10" xfId="0" applyFont="1" applyFill="1" applyBorder="1" applyAlignment="1">
      <alignment horizontal="center"/>
    </xf>
    <xf numFmtId="0" fontId="27" fillId="10" borderId="11" xfId="0" applyFont="1" applyFill="1" applyBorder="1" applyAlignment="1">
      <alignment horizontal="center"/>
    </xf>
    <xf numFmtId="0" fontId="28" fillId="5" borderId="11" xfId="0" applyFont="1" applyFill="1" applyBorder="1" applyAlignment="1">
      <alignment horizontal="center"/>
    </xf>
    <xf numFmtId="0" fontId="27" fillId="11" borderId="11" xfId="0" applyFont="1" applyFill="1" applyBorder="1" applyAlignment="1">
      <alignment horizontal="center"/>
    </xf>
    <xf numFmtId="0" fontId="27" fillId="11" borderId="12" xfId="0" applyFont="1" applyFill="1" applyBorder="1" applyAlignment="1">
      <alignment horizontal="center"/>
    </xf>
    <xf numFmtId="0" fontId="27" fillId="3" borderId="10" xfId="0" applyFont="1" applyFill="1" applyBorder="1" applyAlignment="1">
      <alignment horizontal="center"/>
    </xf>
    <xf numFmtId="0" fontId="27" fillId="3" borderId="12" xfId="0" applyFont="1" applyFill="1" applyBorder="1" applyAlignment="1">
      <alignment horizontal="center"/>
    </xf>
    <xf numFmtId="0" fontId="27" fillId="3" borderId="10" xfId="0" applyFont="1" applyFill="1" applyBorder="1" applyAlignment="1">
      <alignment horizontal="center" vertical="justify"/>
    </xf>
    <xf numFmtId="0" fontId="27" fillId="3" borderId="12" xfId="0" applyFont="1" applyFill="1" applyBorder="1" applyAlignment="1">
      <alignment horizontal="center" vertical="justify"/>
    </xf>
    <xf numFmtId="0" fontId="26" fillId="3" borderId="10" xfId="0" applyFont="1" applyFill="1" applyBorder="1" applyAlignment="1">
      <alignment horizontal="center"/>
    </xf>
    <xf numFmtId="0" fontId="26" fillId="3" borderId="12" xfId="0" applyFont="1" applyFill="1" applyBorder="1" applyAlignment="1">
      <alignment horizontal="center"/>
    </xf>
    <xf numFmtId="0" fontId="27" fillId="3" borderId="14" xfId="0" applyFont="1" applyFill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7" fillId="3" borderId="16" xfId="0" applyFont="1" applyFill="1" applyBorder="1" applyAlignment="1">
      <alignment horizontal="center"/>
    </xf>
    <xf numFmtId="0" fontId="28" fillId="5" borderId="10" xfId="2" applyFont="1" applyFill="1" applyBorder="1" applyAlignment="1">
      <alignment horizontal="justify"/>
    </xf>
    <xf numFmtId="0" fontId="28" fillId="5" borderId="12" xfId="2" applyFont="1" applyFill="1" applyBorder="1" applyAlignment="1">
      <alignment horizontal="justify"/>
    </xf>
    <xf numFmtId="0" fontId="27" fillId="20" borderId="10" xfId="2" applyFont="1" applyFill="1" applyBorder="1" applyAlignment="1">
      <alignment horizontal="center" vertical="center" wrapText="1"/>
    </xf>
    <xf numFmtId="0" fontId="27" fillId="20" borderId="12" xfId="2" applyFont="1" applyFill="1" applyBorder="1" applyAlignment="1">
      <alignment horizontal="center" vertical="center" wrapText="1"/>
    </xf>
    <xf numFmtId="0" fontId="27" fillId="20" borderId="10" xfId="2" applyFont="1" applyFill="1" applyBorder="1" applyAlignment="1">
      <alignment horizontal="justify" vertical="center"/>
    </xf>
    <xf numFmtId="0" fontId="27" fillId="20" borderId="12" xfId="2" applyFont="1" applyFill="1" applyBorder="1" applyAlignment="1">
      <alignment horizontal="justify" vertical="center"/>
    </xf>
    <xf numFmtId="0" fontId="27" fillId="20" borderId="10" xfId="2" applyFont="1" applyFill="1" applyBorder="1" applyAlignment="1">
      <alignment horizontal="center" vertical="center"/>
    </xf>
    <xf numFmtId="0" fontId="27" fillId="20" borderId="12" xfId="2" applyFont="1" applyFill="1" applyBorder="1" applyAlignment="1">
      <alignment horizontal="center" vertical="center"/>
    </xf>
    <xf numFmtId="0" fontId="58" fillId="21" borderId="10" xfId="2" applyFont="1" applyFill="1" applyBorder="1" applyAlignment="1">
      <alignment horizontal="center" vertical="center"/>
    </xf>
    <xf numFmtId="0" fontId="58" fillId="21" borderId="12" xfId="2" applyFont="1" applyFill="1" applyBorder="1" applyAlignment="1">
      <alignment horizontal="center" vertical="center"/>
    </xf>
    <xf numFmtId="0" fontId="27" fillId="3" borderId="13" xfId="2" applyFont="1" applyFill="1" applyBorder="1" applyAlignment="1">
      <alignment horizontal="center" vertical="center"/>
    </xf>
    <xf numFmtId="0" fontId="27" fillId="3" borderId="33" xfId="2" applyFont="1" applyFill="1" applyBorder="1" applyAlignment="1">
      <alignment horizontal="center" vertical="center"/>
    </xf>
    <xf numFmtId="0" fontId="17" fillId="3" borderId="18" xfId="2" applyFont="1" applyFill="1" applyBorder="1" applyAlignment="1">
      <alignment horizontal="center" vertical="center"/>
    </xf>
    <xf numFmtId="0" fontId="28" fillId="4" borderId="10" xfId="2" applyFont="1" applyFill="1" applyBorder="1" applyAlignment="1">
      <alignment horizontal="center" vertical="center"/>
    </xf>
    <xf numFmtId="0" fontId="6" fillId="0" borderId="12" xfId="2" applyBorder="1" applyAlignment="1">
      <alignment vertical="center"/>
    </xf>
    <xf numFmtId="0" fontId="28" fillId="5" borderId="10" xfId="2" applyFont="1" applyFill="1" applyBorder="1" applyAlignment="1">
      <alignment horizontal="center" vertical="center"/>
    </xf>
    <xf numFmtId="0" fontId="28" fillId="5" borderId="12" xfId="2" applyFont="1" applyFill="1" applyBorder="1" applyAlignment="1">
      <alignment horizontal="center" vertical="center"/>
    </xf>
    <xf numFmtId="0" fontId="27" fillId="3" borderId="13" xfId="2" applyFont="1" applyFill="1" applyBorder="1" applyAlignment="1">
      <alignment horizontal="center" vertical="center" wrapText="1"/>
    </xf>
    <xf numFmtId="0" fontId="27" fillId="3" borderId="33" xfId="2" applyFont="1" applyFill="1" applyBorder="1" applyAlignment="1">
      <alignment horizontal="center" vertical="center" wrapText="1"/>
    </xf>
    <xf numFmtId="0" fontId="27" fillId="3" borderId="18" xfId="2" applyFont="1" applyFill="1" applyBorder="1" applyAlignment="1">
      <alignment horizontal="center" vertical="center" wrapText="1"/>
    </xf>
    <xf numFmtId="0" fontId="59" fillId="9" borderId="10" xfId="2" applyFont="1" applyFill="1" applyBorder="1" applyAlignment="1">
      <alignment horizontal="center" vertical="center"/>
    </xf>
    <xf numFmtId="0" fontId="59" fillId="9" borderId="12" xfId="2" applyFont="1" applyFill="1" applyBorder="1" applyAlignment="1">
      <alignment horizontal="center" vertical="center"/>
    </xf>
    <xf numFmtId="0" fontId="27" fillId="6" borderId="10" xfId="2" applyFont="1" applyFill="1" applyBorder="1" applyAlignment="1">
      <alignment horizontal="center" vertical="center"/>
    </xf>
    <xf numFmtId="0" fontId="27" fillId="6" borderId="12" xfId="2" applyFont="1" applyFill="1" applyBorder="1" applyAlignment="1">
      <alignment horizontal="center" vertical="center"/>
    </xf>
    <xf numFmtId="0" fontId="26" fillId="3" borderId="14" xfId="2" applyFont="1" applyFill="1" applyBorder="1" applyAlignment="1">
      <alignment horizontal="center" vertical="center" wrapText="1"/>
    </xf>
    <xf numFmtId="0" fontId="26" fillId="3" borderId="16" xfId="2" applyFont="1" applyFill="1" applyBorder="1" applyAlignment="1">
      <alignment horizontal="center" vertical="center" wrapText="1"/>
    </xf>
    <xf numFmtId="0" fontId="26" fillId="3" borderId="34" xfId="2" applyFont="1" applyFill="1" applyBorder="1" applyAlignment="1">
      <alignment horizontal="center" vertical="center" wrapText="1"/>
    </xf>
    <xf numFmtId="0" fontId="26" fillId="3" borderId="35" xfId="2" applyFont="1" applyFill="1" applyBorder="1" applyAlignment="1">
      <alignment horizontal="center" vertical="center" wrapText="1"/>
    </xf>
    <xf numFmtId="0" fontId="36" fillId="22" borderId="14" xfId="2" applyFont="1" applyFill="1" applyBorder="1" applyAlignment="1">
      <alignment horizontal="center" vertical="center"/>
    </xf>
    <xf numFmtId="0" fontId="36" fillId="22" borderId="15" xfId="2" applyFont="1" applyFill="1" applyBorder="1" applyAlignment="1">
      <alignment horizontal="center" vertical="center"/>
    </xf>
    <xf numFmtId="0" fontId="36" fillId="22" borderId="16" xfId="2" applyFont="1" applyFill="1" applyBorder="1" applyAlignment="1">
      <alignment horizontal="center" vertical="center"/>
    </xf>
    <xf numFmtId="0" fontId="36" fillId="22" borderId="34" xfId="2" applyFont="1" applyFill="1" applyBorder="1" applyAlignment="1">
      <alignment horizontal="center" vertical="center"/>
    </xf>
    <xf numFmtId="0" fontId="36" fillId="22" borderId="9" xfId="2" applyFont="1" applyFill="1" applyBorder="1" applyAlignment="1">
      <alignment horizontal="center" vertical="center"/>
    </xf>
    <xf numFmtId="0" fontId="36" fillId="22" borderId="35" xfId="2" applyFont="1" applyFill="1" applyBorder="1" applyAlignment="1">
      <alignment horizontal="center" vertical="center"/>
    </xf>
    <xf numFmtId="0" fontId="27" fillId="22" borderId="14" xfId="2" applyFont="1" applyFill="1" applyBorder="1" applyAlignment="1">
      <alignment horizontal="center" vertical="center"/>
    </xf>
    <xf numFmtId="0" fontId="27" fillId="22" borderId="15" xfId="2" applyFont="1" applyFill="1" applyBorder="1" applyAlignment="1">
      <alignment horizontal="center" vertical="center"/>
    </xf>
    <xf numFmtId="0" fontId="27" fillId="22" borderId="16" xfId="2" applyFont="1" applyFill="1" applyBorder="1" applyAlignment="1">
      <alignment horizontal="center" vertical="center"/>
    </xf>
    <xf numFmtId="0" fontId="27" fillId="22" borderId="34" xfId="2" applyFont="1" applyFill="1" applyBorder="1" applyAlignment="1">
      <alignment horizontal="center" vertical="center"/>
    </xf>
    <xf numFmtId="0" fontId="27" fillId="22" borderId="9" xfId="2" applyFont="1" applyFill="1" applyBorder="1" applyAlignment="1">
      <alignment horizontal="center" vertical="center"/>
    </xf>
    <xf numFmtId="0" fontId="27" fillId="22" borderId="35" xfId="2" applyFont="1" applyFill="1" applyBorder="1" applyAlignment="1">
      <alignment horizontal="center" vertical="center"/>
    </xf>
    <xf numFmtId="0" fontId="27" fillId="3" borderId="14" xfId="2" applyFont="1" applyFill="1" applyBorder="1" applyAlignment="1">
      <alignment horizontal="center" vertical="center"/>
    </xf>
    <xf numFmtId="0" fontId="27" fillId="3" borderId="16" xfId="2" applyFont="1" applyFill="1" applyBorder="1" applyAlignment="1">
      <alignment horizontal="center" vertical="center"/>
    </xf>
    <xf numFmtId="0" fontId="27" fillId="3" borderId="34" xfId="2" applyFont="1" applyFill="1" applyBorder="1" applyAlignment="1">
      <alignment horizontal="center" vertical="center"/>
    </xf>
    <xf numFmtId="0" fontId="27" fillId="3" borderId="35" xfId="2" applyFont="1" applyFill="1" applyBorder="1" applyAlignment="1">
      <alignment horizontal="center" vertical="center"/>
    </xf>
    <xf numFmtId="0" fontId="27" fillId="3" borderId="14" xfId="2" applyFont="1" applyFill="1" applyBorder="1" applyAlignment="1">
      <alignment horizontal="center" vertical="center" wrapText="1"/>
    </xf>
    <xf numFmtId="0" fontId="27" fillId="3" borderId="16" xfId="2" applyFont="1" applyFill="1" applyBorder="1" applyAlignment="1">
      <alignment horizontal="center" vertical="center" wrapText="1"/>
    </xf>
    <xf numFmtId="0" fontId="27" fillId="3" borderId="34" xfId="2" applyFont="1" applyFill="1" applyBorder="1" applyAlignment="1">
      <alignment horizontal="center" vertical="center" wrapText="1"/>
    </xf>
    <xf numFmtId="0" fontId="27" fillId="3" borderId="35" xfId="2" applyFont="1" applyFill="1" applyBorder="1" applyAlignment="1">
      <alignment horizontal="center" vertical="center" wrapText="1"/>
    </xf>
    <xf numFmtId="0" fontId="27" fillId="3" borderId="33" xfId="0" applyFont="1" applyFill="1" applyBorder="1" applyAlignment="1">
      <alignment horizontal="center" vertical="center"/>
    </xf>
    <xf numFmtId="0" fontId="36" fillId="22" borderId="10" xfId="0" applyFont="1" applyFill="1" applyBorder="1" applyAlignment="1">
      <alignment horizontal="center" vertical="center"/>
    </xf>
    <xf numFmtId="0" fontId="36" fillId="22" borderId="12" xfId="0" applyFont="1" applyFill="1" applyBorder="1" applyAlignment="1">
      <alignment horizontal="center" vertical="center"/>
    </xf>
    <xf numFmtId="0" fontId="36" fillId="22" borderId="11" xfId="0" applyFont="1" applyFill="1" applyBorder="1" applyAlignment="1">
      <alignment horizontal="center" vertical="center"/>
    </xf>
    <xf numFmtId="0" fontId="27" fillId="22" borderId="10" xfId="0" applyFont="1" applyFill="1" applyBorder="1" applyAlignment="1">
      <alignment horizontal="center" vertical="center"/>
    </xf>
    <xf numFmtId="0" fontId="27" fillId="22" borderId="11" xfId="0" applyFont="1" applyFill="1" applyBorder="1" applyAlignment="1">
      <alignment horizontal="center" vertical="center"/>
    </xf>
    <xf numFmtId="0" fontId="27" fillId="22" borderId="12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27" fillId="3" borderId="12" xfId="0" applyFont="1" applyFill="1" applyBorder="1" applyAlignment="1">
      <alignment horizontal="center" vertical="center"/>
    </xf>
    <xf numFmtId="0" fontId="57" fillId="40" borderId="62" xfId="0" applyFont="1" applyFill="1" applyBorder="1" applyAlignment="1">
      <alignment horizontal="center" vertical="center" wrapText="1"/>
    </xf>
    <xf numFmtId="0" fontId="57" fillId="40" borderId="63" xfId="0" applyFont="1" applyFill="1" applyBorder="1" applyAlignment="1">
      <alignment horizontal="center" vertical="center" wrapText="1"/>
    </xf>
    <xf numFmtId="0" fontId="57" fillId="40" borderId="69" xfId="0" applyFont="1" applyFill="1" applyBorder="1" applyAlignment="1">
      <alignment horizontal="center" vertical="center" wrapText="1"/>
    </xf>
    <xf numFmtId="0" fontId="57" fillId="40" borderId="70" xfId="0" applyFont="1" applyFill="1" applyBorder="1" applyAlignment="1">
      <alignment horizontal="center" vertical="center" wrapText="1"/>
    </xf>
    <xf numFmtId="0" fontId="57" fillId="40" borderId="71" xfId="0" applyFont="1" applyFill="1" applyBorder="1" applyAlignment="1">
      <alignment horizontal="center" vertical="center" wrapText="1"/>
    </xf>
  </cellXfs>
  <cellStyles count="6">
    <cellStyle name="Euro" xfId="1"/>
    <cellStyle name="Normal" xfId="0" builtinId="0"/>
    <cellStyle name="Normal 2" xfId="2"/>
    <cellStyle name="Normal_PLDEFINITIVO2003" xfId="3"/>
    <cellStyle name="Porcentaje" xfId="4" builtinId="5"/>
    <cellStyle name="Porcentaje 2" xfId="5"/>
  </cellStyles>
  <dxfs count="152">
    <dxf>
      <font>
        <b/>
        <i val="0"/>
        <color rgb="FFFFFF00"/>
      </font>
      <fill>
        <patternFill>
          <bgColor rgb="FF024883"/>
        </patternFill>
      </fill>
    </dxf>
    <dxf>
      <font>
        <b/>
        <i val="0"/>
        <color theme="0"/>
      </font>
      <fill>
        <patternFill>
          <bgColor rgb="FFE63036"/>
        </patternFill>
      </fill>
    </dxf>
    <dxf>
      <font>
        <b/>
        <i val="0"/>
        <color auto="1"/>
      </font>
      <fill>
        <patternFill>
          <bgColor rgb="FFF49611"/>
        </patternFill>
      </fill>
    </dxf>
    <dxf>
      <font>
        <b/>
        <i val="0"/>
        <color theme="0"/>
      </font>
      <fill>
        <patternFill>
          <bgColor rgb="FF742F8A"/>
        </patternFill>
      </fill>
    </dxf>
    <dxf>
      <font>
        <b/>
        <i val="0"/>
        <color theme="0"/>
      </font>
      <fill>
        <patternFill>
          <bgColor rgb="FFC126B8"/>
        </patternFill>
      </fill>
    </dxf>
    <dxf>
      <font>
        <b/>
        <i val="0"/>
        <color theme="0"/>
      </font>
      <fill>
        <patternFill>
          <bgColor rgb="FFB3272D"/>
        </patternFill>
      </fill>
    </dxf>
    <dxf>
      <font>
        <b/>
        <i val="0"/>
        <color auto="1"/>
      </font>
      <fill>
        <patternFill>
          <bgColor rgb="FF00ACB8"/>
        </patternFill>
      </fill>
    </dxf>
    <dxf>
      <font>
        <b/>
        <i val="0"/>
        <color auto="1"/>
      </font>
      <fill>
        <patternFill>
          <bgColor rgb="FFFF5000"/>
        </patternFill>
      </fill>
    </dxf>
    <dxf>
      <font>
        <b/>
        <i val="0"/>
        <color theme="0"/>
      </font>
      <fill>
        <patternFill>
          <bgColor rgb="FF4CB059"/>
        </patternFill>
      </fill>
    </dxf>
    <dxf>
      <font>
        <b/>
        <i val="0"/>
        <color rgb="FFFFFF00"/>
      </font>
      <fill>
        <patternFill>
          <bgColor rgb="FFBE1621"/>
        </patternFill>
      </fill>
    </dxf>
    <dxf>
      <font>
        <b/>
        <i val="0"/>
      </font>
      <fill>
        <patternFill>
          <bgColor rgb="FFFFCD00"/>
        </patternFill>
      </fill>
    </dxf>
    <dxf>
      <font>
        <b/>
        <i val="0"/>
        <color theme="0"/>
      </font>
      <fill>
        <patternFill>
          <bgColor rgb="FFE63036"/>
        </patternFill>
      </fill>
    </dxf>
    <dxf>
      <font>
        <b/>
        <i val="0"/>
        <color theme="0"/>
      </font>
      <fill>
        <patternFill>
          <bgColor rgb="FF024883"/>
        </patternFill>
      </fill>
    </dxf>
    <dxf>
      <font>
        <b/>
        <i val="0"/>
        <color rgb="FFFFFF00"/>
      </font>
      <fill>
        <patternFill>
          <bgColor rgb="FF024883"/>
        </patternFill>
      </fill>
    </dxf>
    <dxf>
      <font>
        <b/>
        <i val="0"/>
        <color rgb="FFFFFF00"/>
      </font>
      <fill>
        <patternFill>
          <bgColor rgb="FFBE1621"/>
        </patternFill>
      </fill>
    </dxf>
    <dxf>
      <font>
        <b/>
        <i val="0"/>
        <color theme="0"/>
      </font>
      <fill>
        <patternFill>
          <bgColor rgb="FF4CB059"/>
        </patternFill>
      </fill>
    </dxf>
    <dxf>
      <font>
        <b/>
        <i val="0"/>
        <color theme="0"/>
      </font>
      <fill>
        <patternFill>
          <bgColor rgb="FFB3272D"/>
        </patternFill>
      </fill>
    </dxf>
    <dxf>
      <font>
        <b/>
        <i val="0"/>
        <color auto="1"/>
      </font>
      <fill>
        <patternFill>
          <bgColor rgb="FF00ACB8"/>
        </patternFill>
      </fill>
    </dxf>
    <dxf>
      <font>
        <b/>
        <i val="0"/>
        <color theme="0"/>
      </font>
      <fill>
        <patternFill>
          <bgColor rgb="FFC126B8"/>
        </patternFill>
      </fill>
    </dxf>
    <dxf>
      <font>
        <b/>
        <i val="0"/>
        <color auto="1"/>
      </font>
      <fill>
        <patternFill>
          <bgColor rgb="FF288ABB"/>
        </patternFill>
      </fill>
    </dxf>
    <dxf>
      <font>
        <b/>
        <i val="0"/>
        <color theme="0"/>
      </font>
      <fill>
        <patternFill>
          <bgColor rgb="FFE6303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</dxf>
    <dxf>
      <font>
        <b/>
        <i val="0"/>
        <condense val="0"/>
        <extend val="0"/>
        <color indexed="8"/>
      </font>
      <fill>
        <patternFill>
          <bgColor rgb="FFFF5000"/>
        </patternFill>
      </fill>
    </dxf>
    <dxf>
      <font>
        <b/>
        <i val="0"/>
        <condense val="0"/>
        <extend val="0"/>
        <color indexed="9"/>
      </font>
      <fill>
        <patternFill>
          <bgColor rgb="FFE63036"/>
        </patternFill>
      </fill>
    </dxf>
    <dxf>
      <font>
        <b/>
        <i val="0"/>
        <color theme="0"/>
      </font>
      <fill>
        <patternFill>
          <bgColor rgb="FF024883"/>
        </patternFill>
      </fill>
    </dxf>
    <dxf>
      <font>
        <b/>
        <i val="0"/>
      </font>
      <fill>
        <patternFill>
          <bgColor rgb="FFFFCD0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condense val="0"/>
        <extend val="0"/>
        <color indexed="55"/>
      </font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</font>
      <fill>
        <patternFill>
          <bgColor rgb="FFFFCC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CC00"/>
        </patternFill>
      </fill>
    </dxf>
    <dxf>
      <font>
        <b/>
        <i val="0"/>
        <color theme="3" tint="-0.499984740745262"/>
      </font>
      <fill>
        <patternFill>
          <bgColor rgb="FFFF9933"/>
        </patternFill>
      </fill>
    </dxf>
    <dxf>
      <font>
        <b/>
        <i val="0"/>
        <color theme="3" tint="-0.499984740745262"/>
      </font>
      <fill>
        <patternFill>
          <bgColor rgb="FFFFFF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  <color indexed="55"/>
      </font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 val="0"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3"/>
      </font>
      <fill>
        <patternFill>
          <bgColor indexed="60"/>
        </patternFill>
      </fill>
    </dxf>
    <dxf>
      <font>
        <b/>
        <i val="0"/>
        <condense val="0"/>
        <extend val="0"/>
        <color indexed="13"/>
      </font>
      <fill>
        <patternFill>
          <bgColor indexed="6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3"/>
      </font>
      <fill>
        <patternFill>
          <bgColor indexed="60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  <color indexed="55"/>
      </font>
    </dxf>
    <dxf>
      <font>
        <b/>
        <i val="0"/>
        <condense val="0"/>
        <extend val="0"/>
        <color auto="1"/>
      </font>
      <fill>
        <patternFill>
          <bgColor indexed="47"/>
        </patternFill>
      </fill>
    </dxf>
    <dxf>
      <font>
        <b/>
        <i val="0"/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47"/>
        </patternFill>
      </fill>
    </dxf>
    <dxf>
      <font>
        <b/>
        <i val="0"/>
        <condense val="0"/>
        <extend val="0"/>
        <color auto="1"/>
      </font>
      <fill>
        <patternFill>
          <bgColor indexed="15"/>
        </patternFill>
      </fill>
    </dxf>
    <dxf>
      <font>
        <b/>
        <i val="0"/>
        <condense val="0"/>
        <extend val="0"/>
        <color auto="1"/>
      </font>
      <fill>
        <patternFill>
          <bgColor indexed="15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ndense val="0"/>
        <extend val="0"/>
        <color indexed="13"/>
      </font>
      <fill>
        <patternFill>
          <bgColor indexed="16"/>
        </patternFill>
      </fill>
    </dxf>
    <dxf>
      <font>
        <b/>
        <i val="0"/>
        <condense val="0"/>
        <extend val="0"/>
        <color indexed="13"/>
      </font>
      <fill>
        <patternFill>
          <bgColor indexed="16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8"/>
      </font>
      <fill>
        <patternFill>
          <bgColor indexed="51"/>
        </patternFill>
      </fill>
    </dxf>
    <dxf>
      <font>
        <b/>
        <i val="0"/>
        <condense val="0"/>
        <extend val="0"/>
        <color indexed="8"/>
      </font>
      <fill>
        <patternFill>
          <bgColor indexed="5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1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33163196364261"/>
          <c:y val="3.8135645821810199E-2"/>
          <c:w val="0.85695243106123564"/>
          <c:h val="0.836159345426357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FFCC0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00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FF6600"/>
              </a:solidFill>
              <a:ln w="25400">
                <a:noFill/>
              </a:ln>
            </c:spPr>
          </c:dPt>
          <c:dPt>
            <c:idx val="6"/>
            <c:invertIfNegative val="0"/>
            <c:bubble3D val="0"/>
            <c:spPr>
              <a:solidFill>
                <a:srgbClr val="008080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F6600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FCC00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Lbls>
            <c:dLbl>
              <c:idx val="0"/>
              <c:layout>
                <c:manualLayout>
                  <c:x val="1.0416238162113178E-2"/>
                  <c:y val="-1.44485467071396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Aytos_2009!$C$186:$C$200</c:f>
              <c:strCache>
                <c:ptCount val="15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PT</c:v>
                </c:pt>
                <c:pt idx="4">
                  <c:v>PVEM</c:v>
                </c:pt>
                <c:pt idx="5">
                  <c:v>C</c:v>
                </c:pt>
                <c:pt idx="6">
                  <c:v>NA</c:v>
                </c:pt>
                <c:pt idx="7">
                  <c:v>PSD</c:v>
                </c:pt>
                <c:pt idx="8">
                  <c:v>PFD</c:v>
                </c:pt>
                <c:pt idx="9">
                  <c:v>PAN-C</c:v>
                </c:pt>
                <c:pt idx="10">
                  <c:v>PRI-PVEM-NA-PSD-PFD</c:v>
                </c:pt>
                <c:pt idx="11">
                  <c:v>PRD-PT</c:v>
                </c:pt>
                <c:pt idx="12">
                  <c:v>PT-C</c:v>
                </c:pt>
                <c:pt idx="13">
                  <c:v>NO REG.</c:v>
                </c:pt>
                <c:pt idx="14">
                  <c:v>NULOS</c:v>
                </c:pt>
              </c:strCache>
            </c:strRef>
          </c:cat>
          <c:val>
            <c:numRef>
              <c:f>Aytos_2009!$D$186:$D$200</c:f>
              <c:numCache>
                <c:formatCode>#,##0</c:formatCode>
                <c:ptCount val="15"/>
                <c:pt idx="0">
                  <c:v>1090162</c:v>
                </c:pt>
                <c:pt idx="1">
                  <c:v>2141327</c:v>
                </c:pt>
                <c:pt idx="2">
                  <c:v>863371</c:v>
                </c:pt>
                <c:pt idx="3">
                  <c:v>249558</c:v>
                </c:pt>
                <c:pt idx="4">
                  <c:v>142289</c:v>
                </c:pt>
                <c:pt idx="5">
                  <c:v>274738</c:v>
                </c:pt>
                <c:pt idx="6">
                  <c:v>61381</c:v>
                </c:pt>
                <c:pt idx="7">
                  <c:v>28446</c:v>
                </c:pt>
                <c:pt idx="8">
                  <c:v>12443</c:v>
                </c:pt>
                <c:pt idx="9">
                  <c:v>61</c:v>
                </c:pt>
                <c:pt idx="10">
                  <c:v>42754</c:v>
                </c:pt>
                <c:pt idx="11">
                  <c:v>10855</c:v>
                </c:pt>
                <c:pt idx="12">
                  <c:v>777</c:v>
                </c:pt>
                <c:pt idx="13">
                  <c:v>7886</c:v>
                </c:pt>
                <c:pt idx="14">
                  <c:v>258789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794880099287423E-3"/>
                  <c:y val="-0.4087293237138239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591936929045618E-2"/>
                  <c:y val="-0.7590121444572354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4235393163899823E-2"/>
                  <c:y val="-0.3437574826840732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556209507177786E-2"/>
                  <c:y val="-0.1248306270403479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26007561966478E-2"/>
                  <c:y val="-0.1022317258126085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180161602099451E-2"/>
                  <c:y val="-0.1304803523472828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823617836953684E-2"/>
                  <c:y val="-6.97458052977332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3130174803381633E-2"/>
                  <c:y val="-5.138419805019500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7.4261743213177578E-3"/>
                  <c:y val="-4.85593353967275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1080328361450786E-2"/>
                  <c:y val="-4.00847474363252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2060683864731248E-2"/>
                  <c:y val="-5.2796629376928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0367381187946112E-2"/>
                  <c:y val="-4.85593353967275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7.337038885947833E-3"/>
                  <c:y val="-4.85593353967275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9.6542936576545779E-3"/>
                  <c:y val="-4.85593353967275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464534696621389E-2"/>
                  <c:y val="-0.120593333060146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Aytos_2009!$C$186:$C$200</c:f>
              <c:strCache>
                <c:ptCount val="15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PT</c:v>
                </c:pt>
                <c:pt idx="4">
                  <c:v>PVEM</c:v>
                </c:pt>
                <c:pt idx="5">
                  <c:v>C</c:v>
                </c:pt>
                <c:pt idx="6">
                  <c:v>NA</c:v>
                </c:pt>
                <c:pt idx="7">
                  <c:v>PSD</c:v>
                </c:pt>
                <c:pt idx="8">
                  <c:v>PFD</c:v>
                </c:pt>
                <c:pt idx="9">
                  <c:v>PAN-C</c:v>
                </c:pt>
                <c:pt idx="10">
                  <c:v>PRI-PVEM-NA-PSD-PFD</c:v>
                </c:pt>
                <c:pt idx="11">
                  <c:v>PRD-PT</c:v>
                </c:pt>
                <c:pt idx="12">
                  <c:v>PT-C</c:v>
                </c:pt>
                <c:pt idx="13">
                  <c:v>NO REG.</c:v>
                </c:pt>
                <c:pt idx="14">
                  <c:v>NULOS</c:v>
                </c:pt>
              </c:strCache>
            </c:strRef>
          </c:cat>
          <c:val>
            <c:numRef>
              <c:f>Aytos_2009!$E$186:$E$200</c:f>
              <c:numCache>
                <c:formatCode>0.00%</c:formatCode>
                <c:ptCount val="15"/>
                <c:pt idx="0">
                  <c:v>0.21025964750675866</c:v>
                </c:pt>
                <c:pt idx="1">
                  <c:v>0.41299793995452511</c:v>
                </c:pt>
                <c:pt idx="2">
                  <c:v>0.16651844599936313</c:v>
                </c:pt>
                <c:pt idx="3">
                  <c:v>4.8132274939405036E-2</c:v>
                </c:pt>
                <c:pt idx="4">
                  <c:v>2.744329281711267E-2</c:v>
                </c:pt>
                <c:pt idx="5">
                  <c:v>5.2988743908439169E-2</c:v>
                </c:pt>
                <c:pt idx="6">
                  <c:v>1.1838559244967585E-2</c:v>
                </c:pt>
                <c:pt idx="7">
                  <c:v>5.4863826963123434E-3</c:v>
                </c:pt>
                <c:pt idx="8">
                  <c:v>2.3998825806867217E-3</c:v>
                </c:pt>
                <c:pt idx="9">
                  <c:v>1.1765075739121597E-5</c:v>
                </c:pt>
                <c:pt idx="10">
                  <c:v>8.245968002465652E-3</c:v>
                </c:pt>
                <c:pt idx="11">
                  <c:v>2.0936048712813923E-3</c:v>
                </c:pt>
                <c:pt idx="12">
                  <c:v>1.4986006310323738E-4</c:v>
                </c:pt>
                <c:pt idx="13">
                  <c:v>1.5209735619461132E-3</c:v>
                </c:pt>
                <c:pt idx="14">
                  <c:v>4.9912658777894081E-2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323568"/>
        <c:axId val="115324688"/>
      </c:barChart>
      <c:catAx>
        <c:axId val="11532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1532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324688"/>
        <c:scaling>
          <c:orientation val="minMax"/>
        </c:scaling>
        <c:delete val="0"/>
        <c:axPos val="l"/>
        <c:majorGridlines>
          <c:spPr>
            <a:ln w="3175">
              <a:solidFill>
                <a:srgbClr val="66006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66006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1532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gif"/><Relationship Id="rId13" Type="http://schemas.openxmlformats.org/officeDocument/2006/relationships/image" Target="../media/image17.gif"/><Relationship Id="rId3" Type="http://schemas.openxmlformats.org/officeDocument/2006/relationships/image" Target="../media/image7.gif"/><Relationship Id="rId7" Type="http://schemas.openxmlformats.org/officeDocument/2006/relationships/image" Target="../media/image11.gif"/><Relationship Id="rId12" Type="http://schemas.openxmlformats.org/officeDocument/2006/relationships/image" Target="../media/image16.gif"/><Relationship Id="rId2" Type="http://schemas.openxmlformats.org/officeDocument/2006/relationships/image" Target="../media/image6.gif"/><Relationship Id="rId1" Type="http://schemas.openxmlformats.org/officeDocument/2006/relationships/image" Target="../media/image5.gif"/><Relationship Id="rId6" Type="http://schemas.openxmlformats.org/officeDocument/2006/relationships/image" Target="../media/image10.gif"/><Relationship Id="rId11" Type="http://schemas.openxmlformats.org/officeDocument/2006/relationships/image" Target="../media/image15.gif"/><Relationship Id="rId5" Type="http://schemas.openxmlformats.org/officeDocument/2006/relationships/image" Target="../media/image9.gif"/><Relationship Id="rId15" Type="http://schemas.openxmlformats.org/officeDocument/2006/relationships/image" Target="../media/image19.gif"/><Relationship Id="rId10" Type="http://schemas.openxmlformats.org/officeDocument/2006/relationships/image" Target="../media/image14.gif"/><Relationship Id="rId4" Type="http://schemas.openxmlformats.org/officeDocument/2006/relationships/image" Target="../media/image8.gif"/><Relationship Id="rId9" Type="http://schemas.openxmlformats.org/officeDocument/2006/relationships/image" Target="../media/image13.gif"/><Relationship Id="rId14" Type="http://schemas.openxmlformats.org/officeDocument/2006/relationships/image" Target="../media/image18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866775</xdr:colOff>
      <xdr:row>3</xdr:row>
      <xdr:rowOff>142875</xdr:rowOff>
    </xdr:to>
    <xdr:pic>
      <xdr:nvPicPr>
        <xdr:cNvPr id="5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11811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1</xdr:col>
      <xdr:colOff>828675</xdr:colOff>
      <xdr:row>3</xdr:row>
      <xdr:rowOff>190500</xdr:rowOff>
    </xdr:to>
    <xdr:pic>
      <xdr:nvPicPr>
        <xdr:cNvPr id="71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11811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47625</xdr:rowOff>
    </xdr:from>
    <xdr:to>
      <xdr:col>1</xdr:col>
      <xdr:colOff>1333500</xdr:colOff>
      <xdr:row>3</xdr:row>
      <xdr:rowOff>9525</xdr:rowOff>
    </xdr:to>
    <xdr:pic>
      <xdr:nvPicPr>
        <xdr:cNvPr id="614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5"/>
          <a:ext cx="14668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171450</xdr:colOff>
      <xdr:row>0</xdr:row>
      <xdr:rowOff>0</xdr:rowOff>
    </xdr:from>
    <xdr:to>
      <xdr:col>25</xdr:col>
      <xdr:colOff>676275</xdr:colOff>
      <xdr:row>3</xdr:row>
      <xdr:rowOff>47625</xdr:rowOff>
    </xdr:to>
    <xdr:pic>
      <xdr:nvPicPr>
        <xdr:cNvPr id="6148" name="Picture 11" descr="marzo_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0050" y="0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57150</xdr:rowOff>
    </xdr:from>
    <xdr:to>
      <xdr:col>1</xdr:col>
      <xdr:colOff>1276350</xdr:colOff>
      <xdr:row>4</xdr:row>
      <xdr:rowOff>76200</xdr:rowOff>
    </xdr:to>
    <xdr:pic>
      <xdr:nvPicPr>
        <xdr:cNvPr id="1028" name="Picture 1" descr="logos-ieem_marzo-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57150"/>
          <a:ext cx="1504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371475</xdr:colOff>
      <xdr:row>165</xdr:row>
      <xdr:rowOff>161925</xdr:rowOff>
    </xdr:from>
    <xdr:to>
      <xdr:col>37</xdr:col>
      <xdr:colOff>600075</xdr:colOff>
      <xdr:row>206</xdr:row>
      <xdr:rowOff>142875</xdr:rowOff>
    </xdr:to>
    <xdr:graphicFrame macro="">
      <xdr:nvGraphicFramePr>
        <xdr:cNvPr id="205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0</xdr:row>
      <xdr:rowOff>0</xdr:rowOff>
    </xdr:from>
    <xdr:to>
      <xdr:col>3</xdr:col>
      <xdr:colOff>333375</xdr:colOff>
      <xdr:row>0</xdr:row>
      <xdr:rowOff>285750</xdr:rowOff>
    </xdr:to>
    <xdr:pic>
      <xdr:nvPicPr>
        <xdr:cNvPr id="2" name="Imagen 1" descr="http://192.168.4.214:9105/computo2016/prepMpal__DA_Cm_Ext/imagenes/pan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0"/>
          <a:ext cx="2000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153351</xdr:colOff>
      <xdr:row>0</xdr:row>
      <xdr:rowOff>0</xdr:rowOff>
    </xdr:from>
    <xdr:to>
      <xdr:col>4</xdr:col>
      <xdr:colOff>333374</xdr:colOff>
      <xdr:row>0</xdr:row>
      <xdr:rowOff>257175</xdr:rowOff>
    </xdr:to>
    <xdr:pic>
      <xdr:nvPicPr>
        <xdr:cNvPr id="3" name="Imagen 2" descr="http://192.168.4.214:9105/computo2016/prepMpal__DA_Cm_Ext/imagenes/pri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1351" y="0"/>
          <a:ext cx="180023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</xdr:colOff>
      <xdr:row>0</xdr:row>
      <xdr:rowOff>0</xdr:rowOff>
    </xdr:from>
    <xdr:to>
      <xdr:col>5</xdr:col>
      <xdr:colOff>333375</xdr:colOff>
      <xdr:row>0</xdr:row>
      <xdr:rowOff>285750</xdr:rowOff>
    </xdr:to>
    <xdr:pic>
      <xdr:nvPicPr>
        <xdr:cNvPr id="4" name="Imagen 3" descr="http://192.168.4.214:9105/computo2016/prepMpal__DA_Cm_Ext/imagenes/prd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0"/>
          <a:ext cx="2000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0</xdr:row>
      <xdr:rowOff>0</xdr:rowOff>
    </xdr:from>
    <xdr:to>
      <xdr:col>6</xdr:col>
      <xdr:colOff>333375</xdr:colOff>
      <xdr:row>1</xdr:row>
      <xdr:rowOff>8164</xdr:rowOff>
    </xdr:to>
    <xdr:pic>
      <xdr:nvPicPr>
        <xdr:cNvPr id="5" name="Imagen 4" descr="http://192.168.4.214:9105/computo2016/prepMpal__DA_Cm_Ext/imagenes/pt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0"/>
          <a:ext cx="219075" cy="312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114300</xdr:colOff>
      <xdr:row>0</xdr:row>
      <xdr:rowOff>0</xdr:rowOff>
    </xdr:from>
    <xdr:to>
      <xdr:col>7</xdr:col>
      <xdr:colOff>333375</xdr:colOff>
      <xdr:row>1</xdr:row>
      <xdr:rowOff>8164</xdr:rowOff>
    </xdr:to>
    <xdr:pic>
      <xdr:nvPicPr>
        <xdr:cNvPr id="6" name="Imagen 5" descr="http://192.168.4.214:9105/computo2016/prepMpal__DA_Cm_Ext/imagenes/pvem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0"/>
          <a:ext cx="219075" cy="312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333375</xdr:colOff>
      <xdr:row>1</xdr:row>
      <xdr:rowOff>21771</xdr:rowOff>
    </xdr:to>
    <xdr:pic>
      <xdr:nvPicPr>
        <xdr:cNvPr id="7" name="Imagen 6" descr="http://192.168.4.214:9105/computo2016/prepMpal__DA_Cm_Ext/imagenes/mc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0"/>
          <a:ext cx="228600" cy="326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123825</xdr:colOff>
      <xdr:row>0</xdr:row>
      <xdr:rowOff>0</xdr:rowOff>
    </xdr:from>
    <xdr:to>
      <xdr:col>9</xdr:col>
      <xdr:colOff>333375</xdr:colOff>
      <xdr:row>0</xdr:row>
      <xdr:rowOff>299357</xdr:rowOff>
    </xdr:to>
    <xdr:pic>
      <xdr:nvPicPr>
        <xdr:cNvPr id="8" name="Imagen 7" descr="http://192.168.4.214:9105/computo2016/prepMpal__DA_Cm_Ext/imagenes/na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0"/>
          <a:ext cx="209550" cy="299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114300</xdr:colOff>
      <xdr:row>0</xdr:row>
      <xdr:rowOff>0</xdr:rowOff>
    </xdr:from>
    <xdr:to>
      <xdr:col>10</xdr:col>
      <xdr:colOff>333375</xdr:colOff>
      <xdr:row>1</xdr:row>
      <xdr:rowOff>8164</xdr:rowOff>
    </xdr:to>
    <xdr:pic>
      <xdr:nvPicPr>
        <xdr:cNvPr id="9" name="Imagen 8" descr="http://192.168.4.214:9105/computo2016/prepMpal__DA_Cm_Ext/imagenes/morena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0"/>
          <a:ext cx="219075" cy="312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1</xdr:rowOff>
    </xdr:from>
    <xdr:to>
      <xdr:col>11</xdr:col>
      <xdr:colOff>333375</xdr:colOff>
      <xdr:row>1</xdr:row>
      <xdr:rowOff>35379</xdr:rowOff>
    </xdr:to>
    <xdr:pic>
      <xdr:nvPicPr>
        <xdr:cNvPr id="10" name="Imagen 9" descr="http://192.168.4.214:9105/computo2016/prepMpal__DA_Cm_Ext/imagenes/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"/>
          <a:ext cx="238125" cy="340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142875</xdr:colOff>
      <xdr:row>0</xdr:row>
      <xdr:rowOff>0</xdr:rowOff>
    </xdr:from>
    <xdr:to>
      <xdr:col>12</xdr:col>
      <xdr:colOff>333375</xdr:colOff>
      <xdr:row>0</xdr:row>
      <xdr:rowOff>272143</xdr:rowOff>
    </xdr:to>
    <xdr:pic>
      <xdr:nvPicPr>
        <xdr:cNvPr id="11" name="Imagen 10" descr="http://192.168.4.214:9105/computo2016/prepMpal__DA_Cm_Ext/imagenes/pfd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0"/>
          <a:ext cx="190500" cy="272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133350</xdr:colOff>
      <xdr:row>0</xdr:row>
      <xdr:rowOff>0</xdr:rowOff>
    </xdr:from>
    <xdr:to>
      <xdr:col>13</xdr:col>
      <xdr:colOff>514350</xdr:colOff>
      <xdr:row>2</xdr:row>
      <xdr:rowOff>57150</xdr:rowOff>
    </xdr:to>
    <xdr:pic>
      <xdr:nvPicPr>
        <xdr:cNvPr id="12" name="Imagen 11" descr="http://192.168.4.214:9105/computo2016/prepMpal__DA_Cm_Ext/imagenes/pri_pvem_na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9350" y="0"/>
          <a:ext cx="381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190499</xdr:colOff>
      <xdr:row>0</xdr:row>
      <xdr:rowOff>0</xdr:rowOff>
    </xdr:from>
    <xdr:to>
      <xdr:col>14</xdr:col>
      <xdr:colOff>504824</xdr:colOff>
      <xdr:row>1</xdr:row>
      <xdr:rowOff>127397</xdr:rowOff>
    </xdr:to>
    <xdr:pic>
      <xdr:nvPicPr>
        <xdr:cNvPr id="13" name="Imagen 12" descr="http://192.168.4.214:9105/computo2016/prepMpal__DA_Cm_Ext/imagenes/pri_pvem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499" y="0"/>
          <a:ext cx="314325" cy="432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95250</xdr:colOff>
      <xdr:row>0</xdr:row>
      <xdr:rowOff>1</xdr:rowOff>
    </xdr:from>
    <xdr:to>
      <xdr:col>15</xdr:col>
      <xdr:colOff>381000</xdr:colOff>
      <xdr:row>1</xdr:row>
      <xdr:rowOff>88107</xdr:rowOff>
    </xdr:to>
    <xdr:pic>
      <xdr:nvPicPr>
        <xdr:cNvPr id="14" name="Imagen 13" descr="http://192.168.4.214:9105/computo2016/prepMpal__DA_Cm_Ext/imagenes/pri_na.gif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0" y="1"/>
          <a:ext cx="285750" cy="392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96982</xdr:colOff>
      <xdr:row>0</xdr:row>
      <xdr:rowOff>0</xdr:rowOff>
    </xdr:from>
    <xdr:to>
      <xdr:col>16</xdr:col>
      <xdr:colOff>381000</xdr:colOff>
      <xdr:row>1</xdr:row>
      <xdr:rowOff>85725</xdr:rowOff>
    </xdr:to>
    <xdr:pic>
      <xdr:nvPicPr>
        <xdr:cNvPr id="15" name="Imagen 14" descr="http://192.168.4.214:9105/computo2016/prepMpal__DA_Cm_Ext/imagenes/pvem_na.gif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8982" y="0"/>
          <a:ext cx="284018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47625</xdr:colOff>
      <xdr:row>0</xdr:row>
      <xdr:rowOff>0</xdr:rowOff>
    </xdr:from>
    <xdr:to>
      <xdr:col>17</xdr:col>
      <xdr:colOff>333375</xdr:colOff>
      <xdr:row>1</xdr:row>
      <xdr:rowOff>103414</xdr:rowOff>
    </xdr:to>
    <xdr:pic>
      <xdr:nvPicPr>
        <xdr:cNvPr id="16" name="Imagen 15" descr="http://192.168.4.214:9105/computo2016/prepMpal__DA_Cm_Ext/imagenes/prd_pt.gif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1625" y="0"/>
          <a:ext cx="285750" cy="4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proc%202005%202006\Estadistica%202005\Ayuntamien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u\borrame\Resultados%20Electorales\2003\dip%202003%20c_anul%20tod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a&#241;o%202006\usu\borrame\Resultados%20Electorales\2003\dip%202003%20c_anul%20tod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EM/AppData/Local/Microsoft/Windows/Temporary%20Internet%20Files/Content.IE5/NYBU2OSN/mpios2003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PAN"/>
      <sheetName val="APT"/>
      <sheetName val="PRD"/>
      <sheetName val="PT"/>
      <sheetName val="C"/>
      <sheetName val="PAS"/>
      <sheetName val="PSN"/>
      <sheetName val="PACEM"/>
    </sheetNames>
    <sheetDataSet>
      <sheetData sheetId="0" refreshError="1"/>
      <sheetData sheetId="1">
        <row r="55">
          <cell r="D55">
            <v>1115</v>
          </cell>
        </row>
      </sheetData>
      <sheetData sheetId="2"/>
      <sheetData sheetId="3">
        <row r="55">
          <cell r="D55">
            <v>1885</v>
          </cell>
        </row>
      </sheetData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ios"/>
      <sheetName val="Cas anuladas TEEM"/>
      <sheetName val="Cas anuladas TEPJF"/>
      <sheetName val="mpal vot val emitida"/>
    </sheetNames>
    <sheetDataSet>
      <sheetData sheetId="0"/>
      <sheetData sheetId="1">
        <row r="8">
          <cell r="E8">
            <v>29</v>
          </cell>
          <cell r="F8">
            <v>166</v>
          </cell>
          <cell r="G8">
            <v>181</v>
          </cell>
          <cell r="H8">
            <v>0</v>
          </cell>
          <cell r="I8">
            <v>0</v>
          </cell>
          <cell r="J8">
            <v>1</v>
          </cell>
          <cell r="K8">
            <v>4</v>
          </cell>
          <cell r="L8">
            <v>0</v>
          </cell>
          <cell r="M8">
            <v>0</v>
          </cell>
          <cell r="N8">
            <v>15</v>
          </cell>
          <cell r="O8">
            <v>396</v>
          </cell>
        </row>
        <row r="21">
          <cell r="E21">
            <v>22</v>
          </cell>
          <cell r="F21">
            <v>97</v>
          </cell>
          <cell r="G21">
            <v>31</v>
          </cell>
          <cell r="H21">
            <v>4</v>
          </cell>
          <cell r="I21">
            <v>0</v>
          </cell>
          <cell r="J21">
            <v>0</v>
          </cell>
          <cell r="K21">
            <v>2</v>
          </cell>
          <cell r="L21">
            <v>0</v>
          </cell>
          <cell r="M21">
            <v>0</v>
          </cell>
          <cell r="N21">
            <v>2</v>
          </cell>
          <cell r="O21">
            <v>158</v>
          </cell>
        </row>
        <row r="22">
          <cell r="E22">
            <v>76</v>
          </cell>
          <cell r="F22">
            <v>98</v>
          </cell>
          <cell r="G22">
            <v>39</v>
          </cell>
          <cell r="H22">
            <v>4</v>
          </cell>
          <cell r="I22">
            <v>6</v>
          </cell>
          <cell r="J22">
            <v>1</v>
          </cell>
          <cell r="K22">
            <v>6</v>
          </cell>
          <cell r="L22">
            <v>100</v>
          </cell>
          <cell r="M22">
            <v>0</v>
          </cell>
          <cell r="N22">
            <v>8</v>
          </cell>
          <cell r="O22">
            <v>338</v>
          </cell>
        </row>
        <row r="23">
          <cell r="E23">
            <v>54</v>
          </cell>
          <cell r="F23">
            <v>165</v>
          </cell>
          <cell r="G23">
            <v>84</v>
          </cell>
          <cell r="H23">
            <v>1</v>
          </cell>
          <cell r="I23">
            <v>0</v>
          </cell>
          <cell r="J23">
            <v>26</v>
          </cell>
          <cell r="K23">
            <v>2</v>
          </cell>
          <cell r="L23">
            <v>0</v>
          </cell>
          <cell r="M23">
            <v>1</v>
          </cell>
          <cell r="N23">
            <v>8</v>
          </cell>
          <cell r="O23">
            <v>341</v>
          </cell>
        </row>
        <row r="24">
          <cell r="E24">
            <v>180</v>
          </cell>
          <cell r="F24">
            <v>119</v>
          </cell>
          <cell r="G24">
            <v>47</v>
          </cell>
          <cell r="H24">
            <v>7</v>
          </cell>
          <cell r="I24">
            <v>2</v>
          </cell>
          <cell r="J24">
            <v>2</v>
          </cell>
          <cell r="K24">
            <v>3</v>
          </cell>
          <cell r="L24">
            <v>0</v>
          </cell>
          <cell r="M24">
            <v>0</v>
          </cell>
          <cell r="N24">
            <v>11</v>
          </cell>
          <cell r="O24">
            <v>371</v>
          </cell>
        </row>
        <row r="25">
          <cell r="E25">
            <v>97</v>
          </cell>
          <cell r="F25">
            <v>98</v>
          </cell>
          <cell r="G25">
            <v>20</v>
          </cell>
          <cell r="H25">
            <v>44</v>
          </cell>
          <cell r="I25">
            <v>36</v>
          </cell>
          <cell r="J25">
            <v>0</v>
          </cell>
          <cell r="K25">
            <v>1</v>
          </cell>
          <cell r="L25">
            <v>0</v>
          </cell>
          <cell r="M25">
            <v>0</v>
          </cell>
          <cell r="N25">
            <v>7</v>
          </cell>
          <cell r="O25">
            <v>303</v>
          </cell>
        </row>
        <row r="31">
          <cell r="E31">
            <v>618</v>
          </cell>
          <cell r="F31">
            <v>406</v>
          </cell>
          <cell r="G31">
            <v>131</v>
          </cell>
          <cell r="H31">
            <v>78</v>
          </cell>
          <cell r="I31">
            <v>27</v>
          </cell>
          <cell r="J31">
            <v>9</v>
          </cell>
          <cell r="K31">
            <v>14</v>
          </cell>
          <cell r="L31">
            <v>6</v>
          </cell>
          <cell r="M31">
            <v>1</v>
          </cell>
          <cell r="N31">
            <v>16</v>
          </cell>
          <cell r="O31">
            <v>1306</v>
          </cell>
        </row>
        <row r="42">
          <cell r="E42">
            <v>364</v>
          </cell>
          <cell r="F42">
            <v>691</v>
          </cell>
          <cell r="G42">
            <v>1004</v>
          </cell>
          <cell r="H42">
            <v>76</v>
          </cell>
          <cell r="I42">
            <v>16</v>
          </cell>
          <cell r="J42">
            <v>0</v>
          </cell>
          <cell r="K42">
            <v>18</v>
          </cell>
          <cell r="L42">
            <v>7</v>
          </cell>
          <cell r="M42">
            <v>0</v>
          </cell>
          <cell r="N42">
            <v>67</v>
          </cell>
          <cell r="O42">
            <v>2243</v>
          </cell>
        </row>
        <row r="45">
          <cell r="E45">
            <v>145</v>
          </cell>
          <cell r="F45">
            <v>114</v>
          </cell>
          <cell r="G45">
            <v>150</v>
          </cell>
          <cell r="H45">
            <v>6</v>
          </cell>
          <cell r="I45">
            <v>10</v>
          </cell>
          <cell r="J45">
            <v>0</v>
          </cell>
          <cell r="K45">
            <v>4</v>
          </cell>
          <cell r="L45">
            <v>3</v>
          </cell>
          <cell r="M45">
            <v>0</v>
          </cell>
          <cell r="N45">
            <v>20</v>
          </cell>
          <cell r="O45">
            <v>452</v>
          </cell>
        </row>
        <row r="57">
          <cell r="E57">
            <v>370</v>
          </cell>
          <cell r="F57">
            <v>1328</v>
          </cell>
          <cell r="G57">
            <v>966</v>
          </cell>
          <cell r="H57">
            <v>35</v>
          </cell>
          <cell r="I57">
            <v>20</v>
          </cell>
          <cell r="J57">
            <v>17</v>
          </cell>
          <cell r="K57">
            <v>4</v>
          </cell>
          <cell r="L57">
            <v>29</v>
          </cell>
          <cell r="M57">
            <v>2</v>
          </cell>
          <cell r="N57">
            <v>110</v>
          </cell>
          <cell r="O57">
            <v>2881</v>
          </cell>
        </row>
        <row r="60">
          <cell r="E60">
            <v>283</v>
          </cell>
          <cell r="F60">
            <v>298</v>
          </cell>
          <cell r="G60">
            <v>22</v>
          </cell>
          <cell r="H60">
            <v>2</v>
          </cell>
          <cell r="I60">
            <v>0</v>
          </cell>
          <cell r="J60">
            <v>1</v>
          </cell>
          <cell r="K60">
            <v>5</v>
          </cell>
          <cell r="L60">
            <v>0</v>
          </cell>
          <cell r="M60">
            <v>0</v>
          </cell>
          <cell r="N60">
            <v>16</v>
          </cell>
          <cell r="O60">
            <v>627</v>
          </cell>
        </row>
        <row r="65">
          <cell r="E65">
            <v>122</v>
          </cell>
          <cell r="F65">
            <v>449</v>
          </cell>
          <cell r="G65">
            <v>26</v>
          </cell>
          <cell r="H65">
            <v>16</v>
          </cell>
          <cell r="I65">
            <v>677</v>
          </cell>
          <cell r="J65">
            <v>9</v>
          </cell>
          <cell r="K65">
            <v>5</v>
          </cell>
          <cell r="L65">
            <v>0</v>
          </cell>
          <cell r="M65">
            <v>0</v>
          </cell>
          <cell r="N65">
            <v>98</v>
          </cell>
          <cell r="O65">
            <v>1402</v>
          </cell>
        </row>
        <row r="66">
          <cell r="E66">
            <v>154</v>
          </cell>
          <cell r="F66">
            <v>188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14</v>
          </cell>
          <cell r="O66">
            <v>356</v>
          </cell>
        </row>
        <row r="67">
          <cell r="E67">
            <v>57</v>
          </cell>
          <cell r="F67">
            <v>68</v>
          </cell>
          <cell r="G67">
            <v>43</v>
          </cell>
          <cell r="H67">
            <v>135</v>
          </cell>
          <cell r="I67">
            <v>4</v>
          </cell>
          <cell r="J67">
            <v>2</v>
          </cell>
          <cell r="K67">
            <v>56</v>
          </cell>
          <cell r="L67">
            <v>28</v>
          </cell>
          <cell r="M67">
            <v>0</v>
          </cell>
          <cell r="N67">
            <v>8</v>
          </cell>
          <cell r="O67">
            <v>401</v>
          </cell>
        </row>
        <row r="70">
          <cell r="E70">
            <v>159</v>
          </cell>
          <cell r="F70">
            <v>175</v>
          </cell>
          <cell r="G70">
            <v>26</v>
          </cell>
          <cell r="H70">
            <v>157</v>
          </cell>
          <cell r="I70">
            <v>8</v>
          </cell>
          <cell r="J70">
            <v>39</v>
          </cell>
          <cell r="K70">
            <v>4</v>
          </cell>
          <cell r="L70">
            <v>1</v>
          </cell>
          <cell r="M70">
            <v>0</v>
          </cell>
          <cell r="N70">
            <v>16</v>
          </cell>
          <cell r="O70">
            <v>585</v>
          </cell>
        </row>
        <row r="80">
          <cell r="E80">
            <v>778</v>
          </cell>
          <cell r="F80">
            <v>555</v>
          </cell>
          <cell r="G80">
            <v>336</v>
          </cell>
          <cell r="H80">
            <v>14</v>
          </cell>
          <cell r="I80">
            <v>12</v>
          </cell>
          <cell r="J80">
            <v>7</v>
          </cell>
          <cell r="K80">
            <v>20</v>
          </cell>
          <cell r="L80">
            <v>46</v>
          </cell>
          <cell r="M80">
            <v>0</v>
          </cell>
          <cell r="N80">
            <v>36</v>
          </cell>
          <cell r="O80">
            <v>1804</v>
          </cell>
        </row>
        <row r="81">
          <cell r="E81">
            <v>64</v>
          </cell>
          <cell r="F81">
            <v>75</v>
          </cell>
          <cell r="G81">
            <v>68</v>
          </cell>
          <cell r="H81">
            <v>67</v>
          </cell>
          <cell r="I81">
            <v>12</v>
          </cell>
          <cell r="J81">
            <v>17</v>
          </cell>
          <cell r="K81">
            <v>0</v>
          </cell>
          <cell r="L81">
            <v>0</v>
          </cell>
          <cell r="M81">
            <v>0</v>
          </cell>
          <cell r="N81">
            <v>21</v>
          </cell>
          <cell r="O81">
            <v>324</v>
          </cell>
        </row>
        <row r="82">
          <cell r="E82">
            <v>31</v>
          </cell>
          <cell r="F82">
            <v>118</v>
          </cell>
          <cell r="G82">
            <v>117</v>
          </cell>
          <cell r="H82">
            <v>1</v>
          </cell>
          <cell r="I82">
            <v>0</v>
          </cell>
          <cell r="J82">
            <v>1</v>
          </cell>
          <cell r="K82">
            <v>10</v>
          </cell>
          <cell r="L82">
            <v>1</v>
          </cell>
          <cell r="M82">
            <v>0</v>
          </cell>
          <cell r="N82">
            <v>15</v>
          </cell>
          <cell r="O82">
            <v>294</v>
          </cell>
        </row>
        <row r="94">
          <cell r="E94">
            <v>236</v>
          </cell>
          <cell r="F94">
            <v>1120</v>
          </cell>
          <cell r="G94">
            <v>787</v>
          </cell>
          <cell r="H94">
            <v>489</v>
          </cell>
          <cell r="I94">
            <v>12</v>
          </cell>
          <cell r="J94">
            <v>25</v>
          </cell>
          <cell r="K94">
            <v>20</v>
          </cell>
          <cell r="L94">
            <v>11</v>
          </cell>
          <cell r="M94">
            <v>0</v>
          </cell>
          <cell r="N94">
            <v>59</v>
          </cell>
          <cell r="O94">
            <v>2759</v>
          </cell>
        </row>
        <row r="97">
          <cell r="E97">
            <v>214</v>
          </cell>
          <cell r="F97">
            <v>206</v>
          </cell>
          <cell r="G97">
            <v>408</v>
          </cell>
          <cell r="H97">
            <v>47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11</v>
          </cell>
          <cell r="O97">
            <v>886</v>
          </cell>
        </row>
        <row r="98">
          <cell r="E98">
            <v>100</v>
          </cell>
          <cell r="F98">
            <v>122</v>
          </cell>
          <cell r="G98">
            <v>25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247</v>
          </cell>
        </row>
        <row r="113">
          <cell r="E113">
            <v>1997</v>
          </cell>
          <cell r="F113">
            <v>1502</v>
          </cell>
          <cell r="G113">
            <v>369</v>
          </cell>
          <cell r="H113">
            <v>159</v>
          </cell>
          <cell r="I113">
            <v>32</v>
          </cell>
          <cell r="J113">
            <v>0</v>
          </cell>
          <cell r="K113">
            <v>111</v>
          </cell>
          <cell r="L113">
            <v>51</v>
          </cell>
          <cell r="M113">
            <v>0</v>
          </cell>
          <cell r="N113">
            <v>92</v>
          </cell>
          <cell r="O113">
            <v>4313</v>
          </cell>
        </row>
        <row r="114">
          <cell r="E114">
            <v>56</v>
          </cell>
          <cell r="F114">
            <v>65</v>
          </cell>
          <cell r="G114">
            <v>68</v>
          </cell>
          <cell r="H114">
            <v>5</v>
          </cell>
          <cell r="I114">
            <v>11</v>
          </cell>
          <cell r="J114">
            <v>0</v>
          </cell>
          <cell r="K114">
            <v>3</v>
          </cell>
          <cell r="L114">
            <v>5</v>
          </cell>
          <cell r="M114">
            <v>0</v>
          </cell>
          <cell r="N114">
            <v>5</v>
          </cell>
          <cell r="O114">
            <v>218</v>
          </cell>
        </row>
        <row r="129">
          <cell r="E129">
            <v>612</v>
          </cell>
          <cell r="F129">
            <v>908</v>
          </cell>
          <cell r="G129">
            <v>1315</v>
          </cell>
          <cell r="H129">
            <v>243</v>
          </cell>
          <cell r="I129">
            <v>12</v>
          </cell>
          <cell r="J129">
            <v>42</v>
          </cell>
          <cell r="K129">
            <v>12</v>
          </cell>
          <cell r="L129">
            <v>9</v>
          </cell>
          <cell r="M129">
            <v>0</v>
          </cell>
          <cell r="N129">
            <v>74</v>
          </cell>
          <cell r="O129">
            <v>3227</v>
          </cell>
        </row>
        <row r="132">
          <cell r="E132">
            <v>1</v>
          </cell>
          <cell r="F132">
            <v>1</v>
          </cell>
          <cell r="G132">
            <v>-11</v>
          </cell>
          <cell r="H132">
            <v>16</v>
          </cell>
          <cell r="I132">
            <v>0</v>
          </cell>
          <cell r="J132">
            <v>-2</v>
          </cell>
          <cell r="K132">
            <v>-1</v>
          </cell>
          <cell r="L132">
            <v>0</v>
          </cell>
          <cell r="M132">
            <v>0</v>
          </cell>
          <cell r="N132">
            <v>0</v>
          </cell>
          <cell r="O132">
            <v>4</v>
          </cell>
        </row>
        <row r="136">
          <cell r="E136">
            <v>114</v>
          </cell>
          <cell r="F136">
            <v>159</v>
          </cell>
          <cell r="G136">
            <v>57</v>
          </cell>
          <cell r="H136">
            <v>19</v>
          </cell>
          <cell r="I136">
            <v>5</v>
          </cell>
          <cell r="J136">
            <v>5</v>
          </cell>
          <cell r="K136">
            <v>122</v>
          </cell>
          <cell r="L136">
            <v>84</v>
          </cell>
          <cell r="M136">
            <v>2</v>
          </cell>
          <cell r="N136">
            <v>42</v>
          </cell>
          <cell r="O136">
            <v>609</v>
          </cell>
        </row>
        <row r="142">
          <cell r="E142">
            <v>330</v>
          </cell>
          <cell r="F142">
            <v>559</v>
          </cell>
          <cell r="G142">
            <v>83</v>
          </cell>
          <cell r="H142">
            <v>507</v>
          </cell>
          <cell r="I142">
            <v>24</v>
          </cell>
          <cell r="J142">
            <v>0</v>
          </cell>
          <cell r="K142">
            <v>20</v>
          </cell>
          <cell r="L142">
            <v>18</v>
          </cell>
          <cell r="M142">
            <v>0</v>
          </cell>
          <cell r="N142">
            <v>48</v>
          </cell>
          <cell r="O142">
            <v>1589</v>
          </cell>
        </row>
        <row r="150">
          <cell r="E150">
            <v>61</v>
          </cell>
          <cell r="F150">
            <v>372</v>
          </cell>
          <cell r="G150">
            <v>536</v>
          </cell>
          <cell r="H150">
            <v>15</v>
          </cell>
          <cell r="I150">
            <v>41</v>
          </cell>
          <cell r="J150">
            <v>0</v>
          </cell>
          <cell r="K150">
            <v>0</v>
          </cell>
          <cell r="L150">
            <v>11</v>
          </cell>
          <cell r="M150">
            <v>0</v>
          </cell>
          <cell r="N150">
            <v>33</v>
          </cell>
          <cell r="O150">
            <v>1069</v>
          </cell>
        </row>
      </sheetData>
      <sheetData sheetId="2">
        <row r="9">
          <cell r="E9">
            <v>-33</v>
          </cell>
          <cell r="F9">
            <v>-177</v>
          </cell>
          <cell r="G9">
            <v>-187</v>
          </cell>
          <cell r="H9">
            <v>-2</v>
          </cell>
          <cell r="I9">
            <v>-29</v>
          </cell>
          <cell r="J9">
            <v>-2</v>
          </cell>
          <cell r="K9">
            <v>0</v>
          </cell>
          <cell r="L9">
            <v>-2</v>
          </cell>
          <cell r="M9">
            <v>0</v>
          </cell>
          <cell r="N9">
            <v>-11</v>
          </cell>
          <cell r="O9">
            <v>-443</v>
          </cell>
        </row>
        <row r="10">
          <cell r="E10">
            <v>180</v>
          </cell>
          <cell r="F10">
            <v>119</v>
          </cell>
          <cell r="G10">
            <v>47</v>
          </cell>
          <cell r="H10">
            <v>7</v>
          </cell>
          <cell r="I10">
            <v>2</v>
          </cell>
          <cell r="J10">
            <v>2</v>
          </cell>
          <cell r="K10">
            <v>3</v>
          </cell>
          <cell r="L10">
            <v>0</v>
          </cell>
          <cell r="M10">
            <v>0</v>
          </cell>
          <cell r="N10">
            <v>11</v>
          </cell>
          <cell r="O10">
            <v>371</v>
          </cell>
        </row>
        <row r="11">
          <cell r="O11">
            <v>284</v>
          </cell>
        </row>
        <row r="12">
          <cell r="O12">
            <v>248</v>
          </cell>
        </row>
        <row r="13">
          <cell r="O13">
            <v>300</v>
          </cell>
        </row>
        <row r="14">
          <cell r="O14">
            <v>-1</v>
          </cell>
        </row>
        <row r="15">
          <cell r="O15">
            <v>-2</v>
          </cell>
        </row>
        <row r="16">
          <cell r="E16">
            <v>2</v>
          </cell>
          <cell r="F16">
            <v>-159</v>
          </cell>
          <cell r="G16">
            <v>-93</v>
          </cell>
          <cell r="H16">
            <v>-5</v>
          </cell>
          <cell r="I16">
            <v>-4</v>
          </cell>
          <cell r="J16">
            <v>0</v>
          </cell>
          <cell r="K16">
            <v>-2</v>
          </cell>
          <cell r="L16">
            <v>-3</v>
          </cell>
          <cell r="M16">
            <v>0</v>
          </cell>
          <cell r="N16">
            <v>-3</v>
          </cell>
        </row>
        <row r="81">
          <cell r="E81">
            <v>-3818</v>
          </cell>
          <cell r="F81">
            <v>-4382</v>
          </cell>
          <cell r="G81">
            <v>-3790</v>
          </cell>
          <cell r="H81">
            <v>-268</v>
          </cell>
          <cell r="I81">
            <v>-64</v>
          </cell>
          <cell r="J81">
            <v>-92</v>
          </cell>
          <cell r="K81">
            <v>-61</v>
          </cell>
          <cell r="L81">
            <v>-130</v>
          </cell>
          <cell r="M81">
            <v>0</v>
          </cell>
          <cell r="N81">
            <v>-244</v>
          </cell>
          <cell r="O81">
            <v>-12849</v>
          </cell>
        </row>
        <row r="84">
          <cell r="E84">
            <v>-41</v>
          </cell>
          <cell r="F84">
            <v>-165</v>
          </cell>
          <cell r="G84">
            <v>-116</v>
          </cell>
          <cell r="H84">
            <v>-85</v>
          </cell>
          <cell r="I84">
            <v>-1</v>
          </cell>
          <cell r="J84">
            <v>-6</v>
          </cell>
          <cell r="K84">
            <v>-2</v>
          </cell>
          <cell r="L84">
            <v>-4</v>
          </cell>
          <cell r="M84">
            <v>0</v>
          </cell>
          <cell r="N84">
            <v>-20</v>
          </cell>
          <cell r="O84">
            <v>-440</v>
          </cell>
        </row>
        <row r="87">
          <cell r="E87">
            <v>214</v>
          </cell>
          <cell r="F87">
            <v>206</v>
          </cell>
          <cell r="G87">
            <v>408</v>
          </cell>
          <cell r="H87">
            <v>47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11</v>
          </cell>
          <cell r="O87">
            <v>886</v>
          </cell>
        </row>
        <row r="90">
          <cell r="E90">
            <v>-153</v>
          </cell>
          <cell r="F90">
            <v>-268</v>
          </cell>
          <cell r="G90">
            <v>-49</v>
          </cell>
          <cell r="H90">
            <v>-2</v>
          </cell>
          <cell r="I90">
            <v>-3</v>
          </cell>
          <cell r="J90">
            <v>-1</v>
          </cell>
          <cell r="K90">
            <v>-6</v>
          </cell>
          <cell r="L90">
            <v>-8</v>
          </cell>
          <cell r="M90">
            <v>0</v>
          </cell>
          <cell r="N90">
            <v>-14</v>
          </cell>
          <cell r="O90">
            <v>-504</v>
          </cell>
        </row>
        <row r="91">
          <cell r="O91">
            <v>276</v>
          </cell>
        </row>
        <row r="92">
          <cell r="O92">
            <v>82</v>
          </cell>
        </row>
        <row r="93">
          <cell r="O93">
            <v>139</v>
          </cell>
        </row>
        <row r="94">
          <cell r="O94">
            <v>113</v>
          </cell>
        </row>
        <row r="95">
          <cell r="E95">
            <v>46</v>
          </cell>
          <cell r="F95">
            <v>0</v>
          </cell>
          <cell r="G95">
            <v>-24</v>
          </cell>
          <cell r="H95">
            <v>-5</v>
          </cell>
          <cell r="I95">
            <v>5</v>
          </cell>
          <cell r="J95">
            <v>1</v>
          </cell>
          <cell r="K95">
            <v>92</v>
          </cell>
          <cell r="L95">
            <v>-23</v>
          </cell>
          <cell r="M95">
            <v>2</v>
          </cell>
          <cell r="N95">
            <v>12</v>
          </cell>
        </row>
        <row r="102">
          <cell r="E102">
            <v>49</v>
          </cell>
          <cell r="F102">
            <v>252</v>
          </cell>
          <cell r="G102">
            <v>377</v>
          </cell>
          <cell r="H102">
            <v>14</v>
          </cell>
          <cell r="I102">
            <v>38</v>
          </cell>
          <cell r="J102">
            <v>0</v>
          </cell>
          <cell r="K102">
            <v>0</v>
          </cell>
          <cell r="L102">
            <v>5</v>
          </cell>
          <cell r="M102">
            <v>0</v>
          </cell>
          <cell r="N102">
            <v>17</v>
          </cell>
          <cell r="O102">
            <v>752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tabSelected="1" workbookViewId="0">
      <selection activeCell="I62" sqref="I62"/>
    </sheetView>
  </sheetViews>
  <sheetFormatPr baseColWidth="10" defaultRowHeight="12.75"/>
  <cols>
    <col min="1" max="1" width="5.28515625" customWidth="1"/>
    <col min="2" max="2" width="18.7109375" bestFit="1" customWidth="1"/>
    <col min="3" max="12" width="10.7109375" customWidth="1"/>
    <col min="13" max="13" width="10.7109375" style="327" customWidth="1"/>
    <col min="14" max="14" width="10.7109375" customWidth="1"/>
    <col min="15" max="15" width="10.7109375" style="327" customWidth="1"/>
  </cols>
  <sheetData>
    <row r="1" spans="1:15" ht="22.5">
      <c r="A1" s="312" t="s">
        <v>490</v>
      </c>
      <c r="B1" s="313"/>
      <c r="C1" s="314" t="s">
        <v>186</v>
      </c>
      <c r="D1" s="313"/>
      <c r="E1" s="313"/>
      <c r="F1" s="313"/>
      <c r="G1" s="313"/>
      <c r="H1" s="313"/>
      <c r="I1" s="313"/>
      <c r="J1" s="313"/>
      <c r="K1" s="313"/>
      <c r="L1" s="313"/>
      <c r="M1" s="315"/>
      <c r="N1" s="313"/>
      <c r="O1" s="315"/>
    </row>
    <row r="2" spans="1:15" ht="19.5" customHeight="1">
      <c r="B2" s="313"/>
      <c r="C2" s="316" t="s">
        <v>491</v>
      </c>
      <c r="D2" s="313"/>
      <c r="E2" s="313"/>
      <c r="F2" s="313"/>
      <c r="G2" s="313"/>
      <c r="H2" s="313"/>
      <c r="I2" s="313"/>
      <c r="J2" s="313"/>
      <c r="K2" s="313"/>
      <c r="L2" s="313"/>
      <c r="M2" s="315"/>
      <c r="N2" s="313"/>
      <c r="O2" s="315"/>
    </row>
    <row r="3" spans="1:15" ht="12.75" customHeight="1">
      <c r="A3" s="317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5"/>
      <c r="N3" s="313"/>
      <c r="O3" s="315"/>
    </row>
    <row r="4" spans="1:15" ht="12.75" customHeight="1">
      <c r="A4" s="318"/>
      <c r="B4" s="319"/>
      <c r="C4" s="320" t="s">
        <v>492</v>
      </c>
      <c r="D4" s="319"/>
      <c r="E4" s="319"/>
      <c r="F4" s="319"/>
      <c r="G4" s="319"/>
      <c r="H4" s="319"/>
      <c r="I4" s="319"/>
      <c r="J4" s="319"/>
      <c r="K4" s="319"/>
      <c r="L4" s="319"/>
      <c r="M4" s="321"/>
      <c r="N4" s="319"/>
      <c r="O4" s="322" t="s">
        <v>493</v>
      </c>
    </row>
    <row r="5" spans="1:15">
      <c r="A5" s="323" t="s">
        <v>494</v>
      </c>
      <c r="B5" s="323" t="s">
        <v>5</v>
      </c>
      <c r="C5" s="323" t="s">
        <v>7</v>
      </c>
      <c r="D5" s="323" t="s">
        <v>8</v>
      </c>
      <c r="E5" s="323" t="s">
        <v>10</v>
      </c>
      <c r="F5" s="323" t="s">
        <v>495</v>
      </c>
      <c r="G5" s="323" t="s">
        <v>12</v>
      </c>
      <c r="H5" s="323" t="s">
        <v>11</v>
      </c>
      <c r="I5" s="323" t="s">
        <v>496</v>
      </c>
      <c r="J5" s="323" t="s">
        <v>497</v>
      </c>
      <c r="K5" s="323" t="s">
        <v>498</v>
      </c>
      <c r="L5" s="323" t="s">
        <v>499</v>
      </c>
      <c r="M5" s="323" t="s">
        <v>500</v>
      </c>
      <c r="N5" s="323" t="s">
        <v>399</v>
      </c>
      <c r="O5" s="323" t="s">
        <v>22</v>
      </c>
    </row>
    <row r="6" spans="1:15" s="327" customFormat="1">
      <c r="A6" s="324"/>
      <c r="B6" s="325" t="s">
        <v>501</v>
      </c>
      <c r="C6" s="326">
        <f t="shared" ref="C6:O6" si="0">SUM(C8:C52)</f>
        <v>837776</v>
      </c>
      <c r="D6" s="326">
        <f t="shared" si="0"/>
        <v>1022772</v>
      </c>
      <c r="E6" s="326">
        <f t="shared" si="0"/>
        <v>593842</v>
      </c>
      <c r="F6" s="326">
        <f t="shared" si="0"/>
        <v>49320</v>
      </c>
      <c r="G6" s="326">
        <f t="shared" si="0"/>
        <v>115436</v>
      </c>
      <c r="H6" s="326">
        <f t="shared" si="0"/>
        <v>68165</v>
      </c>
      <c r="I6" s="326">
        <f t="shared" si="0"/>
        <v>18032</v>
      </c>
      <c r="J6" s="326">
        <f t="shared" si="0"/>
        <v>17763</v>
      </c>
      <c r="K6" s="326">
        <f t="shared" si="0"/>
        <v>23893</v>
      </c>
      <c r="L6" s="326">
        <f t="shared" si="0"/>
        <v>3830</v>
      </c>
      <c r="M6" s="326">
        <f t="shared" si="0"/>
        <v>2750829</v>
      </c>
      <c r="N6" s="326">
        <f t="shared" si="0"/>
        <v>103632</v>
      </c>
      <c r="O6" s="326">
        <f t="shared" si="0"/>
        <v>2854461</v>
      </c>
    </row>
    <row r="7" spans="1:15" s="327" customFormat="1">
      <c r="A7" s="328"/>
      <c r="B7" s="329"/>
      <c r="C7" s="330">
        <f>C6/$M6</f>
        <v>0.30455400899147128</v>
      </c>
      <c r="D7" s="330">
        <f t="shared" ref="D7:L7" si="1">D6/$M6</f>
        <v>0.37180500859922588</v>
      </c>
      <c r="E7" s="330">
        <f t="shared" si="1"/>
        <v>0.2158774682104922</v>
      </c>
      <c r="F7" s="330">
        <f t="shared" si="1"/>
        <v>1.7929140633605359E-2</v>
      </c>
      <c r="G7" s="330">
        <f t="shared" si="1"/>
        <v>4.1964077010966515E-2</v>
      </c>
      <c r="H7" s="330">
        <f t="shared" si="1"/>
        <v>2.4779802743100352E-2</v>
      </c>
      <c r="I7" s="330">
        <f t="shared" si="1"/>
        <v>6.5551148399264365E-3</v>
      </c>
      <c r="J7" s="330">
        <f t="shared" si="1"/>
        <v>6.4573261369572591E-3</v>
      </c>
      <c r="K7" s="330">
        <f t="shared" si="1"/>
        <v>8.6857452789686311E-3</v>
      </c>
      <c r="L7" s="330">
        <f t="shared" si="1"/>
        <v>1.392307555286061E-3</v>
      </c>
      <c r="M7" s="330">
        <f>M6/O6</f>
        <v>0.96369472205085305</v>
      </c>
      <c r="N7" s="330">
        <f>N6/O6</f>
        <v>3.6305277949146966E-2</v>
      </c>
      <c r="O7" s="328"/>
    </row>
    <row r="8" spans="1:15">
      <c r="A8" s="331" t="s">
        <v>502</v>
      </c>
      <c r="B8" s="332" t="s">
        <v>122</v>
      </c>
      <c r="C8" s="333">
        <v>30514</v>
      </c>
      <c r="D8" s="334">
        <v>30280</v>
      </c>
      <c r="E8" s="334">
        <v>7956</v>
      </c>
      <c r="F8" s="334">
        <v>721</v>
      </c>
      <c r="G8" s="334">
        <v>3050</v>
      </c>
      <c r="H8" s="334">
        <v>2103</v>
      </c>
      <c r="I8" s="334">
        <v>835</v>
      </c>
      <c r="J8" s="334">
        <v>519</v>
      </c>
      <c r="K8" s="334">
        <v>1158</v>
      </c>
      <c r="L8" s="335">
        <v>77</v>
      </c>
      <c r="M8" s="334">
        <v>77213</v>
      </c>
      <c r="N8" s="335">
        <v>2759</v>
      </c>
      <c r="O8" s="334">
        <v>79972</v>
      </c>
    </row>
    <row r="9" spans="1:15">
      <c r="A9" s="336" t="s">
        <v>503</v>
      </c>
      <c r="B9" s="337" t="s">
        <v>122</v>
      </c>
      <c r="C9" s="338">
        <v>28228</v>
      </c>
      <c r="D9" s="339">
        <v>31694</v>
      </c>
      <c r="E9" s="338">
        <v>9841</v>
      </c>
      <c r="F9" s="338">
        <v>783</v>
      </c>
      <c r="G9" s="338">
        <v>2989</v>
      </c>
      <c r="H9" s="338">
        <v>2206</v>
      </c>
      <c r="I9" s="338">
        <v>1055</v>
      </c>
      <c r="J9" s="338">
        <v>957</v>
      </c>
      <c r="K9" s="338">
        <v>956</v>
      </c>
      <c r="L9" s="340">
        <v>68</v>
      </c>
      <c r="M9" s="338">
        <v>78777</v>
      </c>
      <c r="N9" s="340">
        <v>3296</v>
      </c>
      <c r="O9" s="338">
        <v>82073</v>
      </c>
    </row>
    <row r="10" spans="1:15">
      <c r="A10" s="331" t="s">
        <v>504</v>
      </c>
      <c r="B10" s="332" t="s">
        <v>105</v>
      </c>
      <c r="C10" s="334">
        <v>3084</v>
      </c>
      <c r="D10" s="339">
        <v>20966</v>
      </c>
      <c r="E10" s="334">
        <v>19418</v>
      </c>
      <c r="F10" s="334">
        <v>272</v>
      </c>
      <c r="G10" s="334">
        <v>479</v>
      </c>
      <c r="H10" s="334">
        <v>366</v>
      </c>
      <c r="I10" s="334">
        <v>1741</v>
      </c>
      <c r="J10" s="334">
        <v>126</v>
      </c>
      <c r="K10" s="334">
        <v>403</v>
      </c>
      <c r="L10" s="335">
        <v>64</v>
      </c>
      <c r="M10" s="334">
        <v>46919</v>
      </c>
      <c r="N10" s="335">
        <v>1898</v>
      </c>
      <c r="O10" s="334">
        <v>48817</v>
      </c>
    </row>
    <row r="11" spans="1:15">
      <c r="A11" s="336" t="s">
        <v>505</v>
      </c>
      <c r="B11" s="337" t="s">
        <v>74</v>
      </c>
      <c r="C11" s="338">
        <v>18732</v>
      </c>
      <c r="D11" s="339">
        <v>20825</v>
      </c>
      <c r="E11" s="338">
        <v>11387</v>
      </c>
      <c r="F11" s="338">
        <v>281</v>
      </c>
      <c r="G11" s="338">
        <v>782</v>
      </c>
      <c r="H11" s="338">
        <v>694</v>
      </c>
      <c r="I11" s="338">
        <v>423</v>
      </c>
      <c r="J11" s="338">
        <v>94</v>
      </c>
      <c r="K11" s="338">
        <v>424</v>
      </c>
      <c r="L11" s="340">
        <v>17</v>
      </c>
      <c r="M11" s="338">
        <v>53659</v>
      </c>
      <c r="N11" s="340">
        <v>1317</v>
      </c>
      <c r="O11" s="338">
        <v>54976</v>
      </c>
    </row>
    <row r="12" spans="1:15">
      <c r="A12" s="331" t="s">
        <v>506</v>
      </c>
      <c r="B12" s="332" t="s">
        <v>109</v>
      </c>
      <c r="C12" s="334">
        <v>10110</v>
      </c>
      <c r="D12" s="339">
        <v>14638</v>
      </c>
      <c r="E12" s="334">
        <v>5745</v>
      </c>
      <c r="F12" s="334">
        <v>542</v>
      </c>
      <c r="G12" s="334">
        <v>190</v>
      </c>
      <c r="H12" s="334">
        <v>1830</v>
      </c>
      <c r="I12" s="334">
        <v>62</v>
      </c>
      <c r="J12" s="334">
        <v>39</v>
      </c>
      <c r="K12" s="334">
        <v>35</v>
      </c>
      <c r="L12" s="335">
        <v>28</v>
      </c>
      <c r="M12" s="334">
        <v>33219</v>
      </c>
      <c r="N12" s="335">
        <v>873</v>
      </c>
      <c r="O12" s="334">
        <v>34092</v>
      </c>
    </row>
    <row r="13" spans="1:15">
      <c r="A13" s="336" t="s">
        <v>507</v>
      </c>
      <c r="B13" s="337" t="s">
        <v>118</v>
      </c>
      <c r="C13" s="338">
        <v>5387</v>
      </c>
      <c r="D13" s="339">
        <v>9958</v>
      </c>
      <c r="E13" s="338">
        <v>5988</v>
      </c>
      <c r="F13" s="338">
        <v>440</v>
      </c>
      <c r="G13" s="338">
        <v>313</v>
      </c>
      <c r="H13" s="338">
        <v>420</v>
      </c>
      <c r="I13" s="338">
        <v>70</v>
      </c>
      <c r="J13" s="338">
        <v>64</v>
      </c>
      <c r="K13" s="338">
        <v>603</v>
      </c>
      <c r="L13" s="340">
        <v>57</v>
      </c>
      <c r="M13" s="338">
        <v>23300</v>
      </c>
      <c r="N13" s="340">
        <v>719</v>
      </c>
      <c r="O13" s="338">
        <v>24019</v>
      </c>
    </row>
    <row r="14" spans="1:15">
      <c r="A14" s="331" t="s">
        <v>508</v>
      </c>
      <c r="B14" s="332" t="s">
        <v>107</v>
      </c>
      <c r="C14" s="334">
        <v>13809</v>
      </c>
      <c r="D14" s="339">
        <v>14947</v>
      </c>
      <c r="E14" s="334">
        <v>6681</v>
      </c>
      <c r="F14" s="334">
        <v>98</v>
      </c>
      <c r="G14" s="334">
        <v>411</v>
      </c>
      <c r="H14" s="334">
        <v>488</v>
      </c>
      <c r="I14" s="334">
        <v>33</v>
      </c>
      <c r="J14" s="334">
        <v>256</v>
      </c>
      <c r="K14" s="334">
        <v>113</v>
      </c>
      <c r="L14" s="335">
        <v>52</v>
      </c>
      <c r="M14" s="334">
        <v>36888</v>
      </c>
      <c r="N14" s="335">
        <v>1417</v>
      </c>
      <c r="O14" s="334">
        <v>38305</v>
      </c>
    </row>
    <row r="15" spans="1:15">
      <c r="A15" s="336" t="s">
        <v>509</v>
      </c>
      <c r="B15" s="337" t="s">
        <v>99</v>
      </c>
      <c r="C15" s="338">
        <v>6170</v>
      </c>
      <c r="D15" s="339">
        <v>14760</v>
      </c>
      <c r="E15" s="338">
        <v>3927</v>
      </c>
      <c r="F15" s="338">
        <v>180</v>
      </c>
      <c r="G15" s="338">
        <v>96</v>
      </c>
      <c r="H15" s="338">
        <v>166</v>
      </c>
      <c r="I15" s="338">
        <v>67</v>
      </c>
      <c r="J15" s="338">
        <v>39</v>
      </c>
      <c r="K15" s="338">
        <v>167</v>
      </c>
      <c r="L15" s="340">
        <v>99</v>
      </c>
      <c r="M15" s="338">
        <v>25671</v>
      </c>
      <c r="N15" s="340">
        <v>1511</v>
      </c>
      <c r="O15" s="338">
        <v>27182</v>
      </c>
    </row>
    <row r="16" spans="1:15">
      <c r="A16" s="331" t="s">
        <v>510</v>
      </c>
      <c r="B16" s="332" t="s">
        <v>511</v>
      </c>
      <c r="C16" s="334">
        <v>1406</v>
      </c>
      <c r="D16" s="339">
        <v>20475</v>
      </c>
      <c r="E16" s="334">
        <v>13039</v>
      </c>
      <c r="F16" s="334">
        <v>398</v>
      </c>
      <c r="G16" s="334">
        <v>436</v>
      </c>
      <c r="H16" s="334">
        <v>253</v>
      </c>
      <c r="I16" s="334">
        <v>100</v>
      </c>
      <c r="J16" s="334">
        <v>33</v>
      </c>
      <c r="K16" s="334">
        <v>95</v>
      </c>
      <c r="L16" s="335">
        <v>65</v>
      </c>
      <c r="M16" s="334">
        <v>36300</v>
      </c>
      <c r="N16" s="335">
        <v>1291</v>
      </c>
      <c r="O16" s="334">
        <v>37591</v>
      </c>
    </row>
    <row r="17" spans="1:15">
      <c r="A17" s="336" t="s">
        <v>512</v>
      </c>
      <c r="B17" s="337" t="s">
        <v>513</v>
      </c>
      <c r="C17" s="338">
        <v>10201</v>
      </c>
      <c r="D17" s="339">
        <v>14465</v>
      </c>
      <c r="E17" s="338">
        <v>3528</v>
      </c>
      <c r="F17" s="338">
        <v>341</v>
      </c>
      <c r="G17" s="338">
        <v>343</v>
      </c>
      <c r="H17" s="338">
        <v>1399</v>
      </c>
      <c r="I17" s="338">
        <v>431</v>
      </c>
      <c r="J17" s="338">
        <v>226</v>
      </c>
      <c r="K17" s="338">
        <v>1657</v>
      </c>
      <c r="L17" s="340">
        <v>48</v>
      </c>
      <c r="M17" s="338">
        <v>32639</v>
      </c>
      <c r="N17" s="340">
        <v>1913</v>
      </c>
      <c r="O17" s="338">
        <v>34552</v>
      </c>
    </row>
    <row r="18" spans="1:15">
      <c r="A18" s="331" t="s">
        <v>514</v>
      </c>
      <c r="B18" s="332" t="s">
        <v>97</v>
      </c>
      <c r="C18" s="334">
        <v>2722</v>
      </c>
      <c r="D18" s="339">
        <v>11193</v>
      </c>
      <c r="E18" s="334">
        <v>3610</v>
      </c>
      <c r="F18" s="334">
        <v>44</v>
      </c>
      <c r="G18" s="334">
        <v>140</v>
      </c>
      <c r="H18" s="334">
        <v>173</v>
      </c>
      <c r="I18" s="334">
        <v>398</v>
      </c>
      <c r="J18" s="334">
        <v>72</v>
      </c>
      <c r="K18" s="334">
        <v>1069</v>
      </c>
      <c r="L18" s="335">
        <v>55</v>
      </c>
      <c r="M18" s="334">
        <v>19476</v>
      </c>
      <c r="N18" s="335">
        <v>1280</v>
      </c>
      <c r="O18" s="334">
        <v>20756</v>
      </c>
    </row>
    <row r="19" spans="1:15">
      <c r="A19" s="336" t="s">
        <v>515</v>
      </c>
      <c r="B19" s="337" t="s">
        <v>516</v>
      </c>
      <c r="C19" s="338">
        <v>13484</v>
      </c>
      <c r="D19" s="339">
        <v>17576</v>
      </c>
      <c r="E19" s="338">
        <v>1626</v>
      </c>
      <c r="F19" s="338">
        <v>167</v>
      </c>
      <c r="G19" s="338">
        <v>438</v>
      </c>
      <c r="H19" s="338">
        <v>498</v>
      </c>
      <c r="I19" s="338">
        <v>345</v>
      </c>
      <c r="J19" s="338">
        <v>149</v>
      </c>
      <c r="K19" s="338">
        <v>177</v>
      </c>
      <c r="L19" s="340">
        <v>108</v>
      </c>
      <c r="M19" s="338">
        <v>34568</v>
      </c>
      <c r="N19" s="340">
        <v>2853</v>
      </c>
      <c r="O19" s="338">
        <v>37421</v>
      </c>
    </row>
    <row r="20" spans="1:15">
      <c r="A20" s="331" t="s">
        <v>517</v>
      </c>
      <c r="B20" s="332" t="s">
        <v>41</v>
      </c>
      <c r="C20" s="334">
        <v>14904</v>
      </c>
      <c r="D20" s="339">
        <v>29353</v>
      </c>
      <c r="E20" s="334">
        <v>8496</v>
      </c>
      <c r="F20" s="334">
        <v>387</v>
      </c>
      <c r="G20" s="334">
        <v>495</v>
      </c>
      <c r="H20" s="334">
        <v>440</v>
      </c>
      <c r="I20" s="334">
        <v>228</v>
      </c>
      <c r="J20" s="334">
        <v>105</v>
      </c>
      <c r="K20" s="334">
        <v>345</v>
      </c>
      <c r="L20" s="335">
        <v>98</v>
      </c>
      <c r="M20" s="334">
        <v>54851</v>
      </c>
      <c r="N20" s="335">
        <v>2814</v>
      </c>
      <c r="O20" s="334">
        <v>57665</v>
      </c>
    </row>
    <row r="21" spans="1:15">
      <c r="A21" s="336" t="s">
        <v>518</v>
      </c>
      <c r="B21" s="337" t="s">
        <v>68</v>
      </c>
      <c r="C21" s="338">
        <v>9615</v>
      </c>
      <c r="D21" s="339">
        <v>16591</v>
      </c>
      <c r="E21" s="338">
        <v>3098</v>
      </c>
      <c r="F21" s="338">
        <v>86</v>
      </c>
      <c r="G21" s="338">
        <v>285</v>
      </c>
      <c r="H21" s="338">
        <v>243</v>
      </c>
      <c r="I21" s="338">
        <v>122</v>
      </c>
      <c r="J21" s="338">
        <v>82</v>
      </c>
      <c r="K21" s="338">
        <v>227</v>
      </c>
      <c r="L21" s="340">
        <v>39</v>
      </c>
      <c r="M21" s="338">
        <v>30388</v>
      </c>
      <c r="N21" s="340">
        <v>1401</v>
      </c>
      <c r="O21" s="338">
        <v>31789</v>
      </c>
    </row>
    <row r="22" spans="1:15">
      <c r="A22" s="331" t="s">
        <v>519</v>
      </c>
      <c r="B22" s="332" t="s">
        <v>65</v>
      </c>
      <c r="C22" s="334">
        <v>6440</v>
      </c>
      <c r="D22" s="339">
        <v>24999</v>
      </c>
      <c r="E22" s="334">
        <v>4743</v>
      </c>
      <c r="F22" s="334">
        <v>327</v>
      </c>
      <c r="G22" s="334">
        <v>776</v>
      </c>
      <c r="H22" s="334">
        <v>637</v>
      </c>
      <c r="I22" s="334">
        <v>909</v>
      </c>
      <c r="J22" s="334">
        <v>198</v>
      </c>
      <c r="K22" s="334">
        <v>1726</v>
      </c>
      <c r="L22" s="335">
        <v>58</v>
      </c>
      <c r="M22" s="334">
        <v>40813</v>
      </c>
      <c r="N22" s="335">
        <v>2442</v>
      </c>
      <c r="O22" s="334">
        <v>43255</v>
      </c>
    </row>
    <row r="23" spans="1:15">
      <c r="A23" s="336" t="s">
        <v>520</v>
      </c>
      <c r="B23" s="337" t="s">
        <v>39</v>
      </c>
      <c r="C23" s="333">
        <v>43121</v>
      </c>
      <c r="D23" s="338">
        <v>29018</v>
      </c>
      <c r="E23" s="338">
        <v>14390</v>
      </c>
      <c r="F23" s="338">
        <v>2434</v>
      </c>
      <c r="G23" s="338">
        <v>5327</v>
      </c>
      <c r="H23" s="338">
        <v>2092</v>
      </c>
      <c r="I23" s="338">
        <v>253</v>
      </c>
      <c r="J23" s="338">
        <v>437</v>
      </c>
      <c r="K23" s="338">
        <v>262</v>
      </c>
      <c r="L23" s="340">
        <v>60</v>
      </c>
      <c r="M23" s="338">
        <v>97394</v>
      </c>
      <c r="N23" s="340">
        <v>2731</v>
      </c>
      <c r="O23" s="338">
        <v>100125</v>
      </c>
    </row>
    <row r="24" spans="1:15">
      <c r="A24" s="331" t="s">
        <v>521</v>
      </c>
      <c r="B24" s="332" t="s">
        <v>522</v>
      </c>
      <c r="C24" s="334">
        <v>15571</v>
      </c>
      <c r="D24" s="339">
        <v>17687</v>
      </c>
      <c r="E24" s="334">
        <v>8993</v>
      </c>
      <c r="F24" s="334">
        <v>431</v>
      </c>
      <c r="G24" s="334">
        <v>2158</v>
      </c>
      <c r="H24" s="334">
        <v>850</v>
      </c>
      <c r="I24" s="334">
        <v>118</v>
      </c>
      <c r="J24" s="334">
        <v>694</v>
      </c>
      <c r="K24" s="334">
        <v>88</v>
      </c>
      <c r="L24" s="335">
        <v>38</v>
      </c>
      <c r="M24" s="334">
        <v>46628</v>
      </c>
      <c r="N24" s="335">
        <v>1561</v>
      </c>
      <c r="O24" s="334">
        <v>48189</v>
      </c>
    </row>
    <row r="25" spans="1:15">
      <c r="A25" s="336" t="s">
        <v>523</v>
      </c>
      <c r="B25" s="337" t="s">
        <v>524</v>
      </c>
      <c r="C25" s="333">
        <v>38008</v>
      </c>
      <c r="D25" s="338">
        <v>28890</v>
      </c>
      <c r="E25" s="338">
        <v>13703</v>
      </c>
      <c r="F25" s="338">
        <v>1102</v>
      </c>
      <c r="G25" s="338">
        <v>5601</v>
      </c>
      <c r="H25" s="338">
        <v>1834</v>
      </c>
      <c r="I25" s="338">
        <v>353</v>
      </c>
      <c r="J25" s="338">
        <v>566</v>
      </c>
      <c r="K25" s="338">
        <v>486</v>
      </c>
      <c r="L25" s="340">
        <v>94</v>
      </c>
      <c r="M25" s="338">
        <v>90637</v>
      </c>
      <c r="N25" s="340">
        <v>2569</v>
      </c>
      <c r="O25" s="338">
        <v>93206</v>
      </c>
    </row>
    <row r="26" spans="1:15">
      <c r="A26" s="331" t="s">
        <v>525</v>
      </c>
      <c r="B26" s="332" t="s">
        <v>49</v>
      </c>
      <c r="C26" s="333">
        <v>22683</v>
      </c>
      <c r="D26" s="334">
        <v>18620</v>
      </c>
      <c r="E26" s="334">
        <v>14737</v>
      </c>
      <c r="F26" s="334">
        <v>252</v>
      </c>
      <c r="G26" s="334">
        <v>1524</v>
      </c>
      <c r="H26" s="334">
        <v>1246</v>
      </c>
      <c r="I26" s="334">
        <v>327</v>
      </c>
      <c r="J26" s="334">
        <v>193</v>
      </c>
      <c r="K26" s="334">
        <v>15</v>
      </c>
      <c r="L26" s="335">
        <v>34</v>
      </c>
      <c r="M26" s="334">
        <v>59631</v>
      </c>
      <c r="N26" s="335">
        <v>1221</v>
      </c>
      <c r="O26" s="334">
        <v>60852</v>
      </c>
    </row>
    <row r="27" spans="1:15">
      <c r="A27" s="336" t="s">
        <v>526</v>
      </c>
      <c r="B27" s="337" t="s">
        <v>136</v>
      </c>
      <c r="C27" s="338">
        <v>12225</v>
      </c>
      <c r="D27" s="339">
        <v>24017</v>
      </c>
      <c r="E27" s="338">
        <v>16944</v>
      </c>
      <c r="F27" s="338">
        <v>405</v>
      </c>
      <c r="G27" s="338">
        <v>930</v>
      </c>
      <c r="H27" s="338">
        <v>432</v>
      </c>
      <c r="I27" s="338">
        <v>18</v>
      </c>
      <c r="J27" s="338">
        <v>20</v>
      </c>
      <c r="K27" s="338">
        <v>91</v>
      </c>
      <c r="L27" s="340">
        <v>435</v>
      </c>
      <c r="M27" s="338">
        <v>55517</v>
      </c>
      <c r="N27" s="340">
        <v>1542</v>
      </c>
      <c r="O27" s="338">
        <v>57059</v>
      </c>
    </row>
    <row r="28" spans="1:15">
      <c r="A28" s="331" t="s">
        <v>527</v>
      </c>
      <c r="B28" s="332" t="s">
        <v>528</v>
      </c>
      <c r="C28" s="334">
        <v>18430</v>
      </c>
      <c r="D28" s="339">
        <v>27716</v>
      </c>
      <c r="E28" s="334">
        <v>17243</v>
      </c>
      <c r="F28" s="334">
        <v>2275</v>
      </c>
      <c r="G28" s="334">
        <v>4393</v>
      </c>
      <c r="H28" s="334">
        <v>2941</v>
      </c>
      <c r="I28" s="334">
        <v>432</v>
      </c>
      <c r="J28" s="334">
        <v>495</v>
      </c>
      <c r="K28" s="334">
        <v>264</v>
      </c>
      <c r="L28" s="335">
        <v>73</v>
      </c>
      <c r="M28" s="334">
        <v>74262</v>
      </c>
      <c r="N28" s="335">
        <v>3951</v>
      </c>
      <c r="O28" s="334">
        <v>78213</v>
      </c>
    </row>
    <row r="29" spans="1:15">
      <c r="A29" s="336" t="s">
        <v>529</v>
      </c>
      <c r="B29" s="337" t="s">
        <v>528</v>
      </c>
      <c r="C29" s="338">
        <v>20312</v>
      </c>
      <c r="D29" s="339">
        <v>22186</v>
      </c>
      <c r="E29" s="338">
        <v>16966</v>
      </c>
      <c r="F29" s="338">
        <v>4557</v>
      </c>
      <c r="G29" s="338">
        <v>5777</v>
      </c>
      <c r="H29" s="338">
        <v>2180</v>
      </c>
      <c r="I29" s="338">
        <v>520</v>
      </c>
      <c r="J29" s="338">
        <v>856</v>
      </c>
      <c r="K29" s="338">
        <v>542</v>
      </c>
      <c r="L29" s="340">
        <v>50</v>
      </c>
      <c r="M29" s="338">
        <v>73946</v>
      </c>
      <c r="N29" s="340">
        <v>3968</v>
      </c>
      <c r="O29" s="338">
        <v>77914</v>
      </c>
    </row>
    <row r="30" spans="1:15">
      <c r="A30" s="331" t="s">
        <v>530</v>
      </c>
      <c r="B30" s="332" t="s">
        <v>116</v>
      </c>
      <c r="C30" s="334">
        <v>10096</v>
      </c>
      <c r="D30" s="334">
        <v>29032</v>
      </c>
      <c r="E30" s="341">
        <v>34345</v>
      </c>
      <c r="F30" s="334">
        <v>1050</v>
      </c>
      <c r="G30" s="334">
        <v>1645</v>
      </c>
      <c r="H30" s="334">
        <v>1472</v>
      </c>
      <c r="I30" s="334">
        <v>115</v>
      </c>
      <c r="J30" s="334">
        <v>336</v>
      </c>
      <c r="K30" s="334">
        <v>298</v>
      </c>
      <c r="L30" s="335">
        <v>50</v>
      </c>
      <c r="M30" s="334">
        <v>78439</v>
      </c>
      <c r="N30" s="335">
        <v>2217</v>
      </c>
      <c r="O30" s="334">
        <v>80656</v>
      </c>
    </row>
    <row r="31" spans="1:15">
      <c r="A31" s="336" t="s">
        <v>531</v>
      </c>
      <c r="B31" s="337" t="s">
        <v>80</v>
      </c>
      <c r="C31" s="338">
        <v>13078</v>
      </c>
      <c r="D31" s="338">
        <v>11897</v>
      </c>
      <c r="E31" s="341">
        <v>14973</v>
      </c>
      <c r="F31" s="338">
        <v>808</v>
      </c>
      <c r="G31" s="338">
        <v>3987</v>
      </c>
      <c r="H31" s="338">
        <v>834</v>
      </c>
      <c r="I31" s="338">
        <v>249</v>
      </c>
      <c r="J31" s="338">
        <v>308</v>
      </c>
      <c r="K31" s="338">
        <v>206</v>
      </c>
      <c r="L31" s="340">
        <v>55</v>
      </c>
      <c r="M31" s="338">
        <v>46395</v>
      </c>
      <c r="N31" s="340">
        <v>1727</v>
      </c>
      <c r="O31" s="338">
        <v>48122</v>
      </c>
    </row>
    <row r="32" spans="1:15">
      <c r="A32" s="331" t="s">
        <v>532</v>
      </c>
      <c r="B32" s="332" t="s">
        <v>80</v>
      </c>
      <c r="C32" s="334">
        <v>15781</v>
      </c>
      <c r="D32" s="339">
        <v>19341</v>
      </c>
      <c r="E32" s="334">
        <v>19290</v>
      </c>
      <c r="F32" s="334">
        <v>1226</v>
      </c>
      <c r="G32" s="334">
        <v>5235</v>
      </c>
      <c r="H32" s="334">
        <v>1346</v>
      </c>
      <c r="I32" s="334">
        <v>430</v>
      </c>
      <c r="J32" s="334">
        <v>531</v>
      </c>
      <c r="K32" s="334">
        <v>518</v>
      </c>
      <c r="L32" s="335">
        <v>59</v>
      </c>
      <c r="M32" s="334">
        <v>63757</v>
      </c>
      <c r="N32" s="335">
        <v>2505</v>
      </c>
      <c r="O32" s="334">
        <v>66262</v>
      </c>
    </row>
    <row r="33" spans="1:15">
      <c r="A33" s="336" t="s">
        <v>533</v>
      </c>
      <c r="B33" s="337" t="s">
        <v>80</v>
      </c>
      <c r="C33" s="338">
        <v>14875</v>
      </c>
      <c r="D33" s="339">
        <v>16838</v>
      </c>
      <c r="E33" s="338">
        <v>16125</v>
      </c>
      <c r="F33" s="338">
        <v>1013</v>
      </c>
      <c r="G33" s="338">
        <v>4273</v>
      </c>
      <c r="H33" s="338">
        <v>1228</v>
      </c>
      <c r="I33" s="338">
        <v>357</v>
      </c>
      <c r="J33" s="338">
        <v>452</v>
      </c>
      <c r="K33" s="338">
        <v>463</v>
      </c>
      <c r="L33" s="340">
        <v>81</v>
      </c>
      <c r="M33" s="338">
        <v>55705</v>
      </c>
      <c r="N33" s="340">
        <v>2451</v>
      </c>
      <c r="O33" s="338">
        <v>58156</v>
      </c>
    </row>
    <row r="34" spans="1:15">
      <c r="A34" s="331" t="s">
        <v>534</v>
      </c>
      <c r="B34" s="332" t="s">
        <v>51</v>
      </c>
      <c r="C34" s="334">
        <v>22349</v>
      </c>
      <c r="D34" s="339">
        <v>36897</v>
      </c>
      <c r="E34" s="334">
        <v>21566</v>
      </c>
      <c r="F34" s="334">
        <v>3683</v>
      </c>
      <c r="G34" s="334">
        <v>5538</v>
      </c>
      <c r="H34" s="334">
        <v>4030</v>
      </c>
      <c r="I34" s="334">
        <v>657</v>
      </c>
      <c r="J34" s="334">
        <v>757</v>
      </c>
      <c r="K34" s="334">
        <v>1863</v>
      </c>
      <c r="L34" s="335">
        <v>123</v>
      </c>
      <c r="M34" s="334">
        <v>97463</v>
      </c>
      <c r="N34" s="335">
        <v>4212</v>
      </c>
      <c r="O34" s="334">
        <v>101675</v>
      </c>
    </row>
    <row r="35" spans="1:15">
      <c r="A35" s="336" t="s">
        <v>535</v>
      </c>
      <c r="B35" s="337" t="s">
        <v>36</v>
      </c>
      <c r="C35" s="338">
        <v>6885</v>
      </c>
      <c r="D35" s="339">
        <v>17256</v>
      </c>
      <c r="E35" s="338">
        <v>15766</v>
      </c>
      <c r="F35" s="338">
        <v>2154</v>
      </c>
      <c r="G35" s="338">
        <v>1997</v>
      </c>
      <c r="H35" s="338">
        <v>939</v>
      </c>
      <c r="I35" s="338">
        <v>231</v>
      </c>
      <c r="J35" s="338">
        <v>189</v>
      </c>
      <c r="K35" s="338">
        <v>805</v>
      </c>
      <c r="L35" s="340">
        <v>40</v>
      </c>
      <c r="M35" s="338">
        <v>46262</v>
      </c>
      <c r="N35" s="340">
        <v>1431</v>
      </c>
      <c r="O35" s="338">
        <v>47693</v>
      </c>
    </row>
    <row r="36" spans="1:15">
      <c r="A36" s="331" t="s">
        <v>536</v>
      </c>
      <c r="B36" s="332" t="s">
        <v>537</v>
      </c>
      <c r="C36" s="333">
        <v>40659</v>
      </c>
      <c r="D36" s="334">
        <v>34781</v>
      </c>
      <c r="E36" s="334">
        <v>15370</v>
      </c>
      <c r="F36" s="334">
        <v>1068</v>
      </c>
      <c r="G36" s="334">
        <v>5600</v>
      </c>
      <c r="H36" s="334">
        <v>2984</v>
      </c>
      <c r="I36" s="334">
        <v>822</v>
      </c>
      <c r="J36" s="334">
        <v>680</v>
      </c>
      <c r="K36" s="334">
        <v>443</v>
      </c>
      <c r="L36" s="335">
        <v>106</v>
      </c>
      <c r="M36" s="334">
        <v>102513</v>
      </c>
      <c r="N36" s="335">
        <v>3462</v>
      </c>
      <c r="O36" s="334">
        <v>105975</v>
      </c>
    </row>
    <row r="37" spans="1:15">
      <c r="A37" s="336" t="s">
        <v>538</v>
      </c>
      <c r="B37" s="337" t="s">
        <v>537</v>
      </c>
      <c r="C37" s="333">
        <v>45477</v>
      </c>
      <c r="D37" s="338">
        <v>25965</v>
      </c>
      <c r="E37" s="338">
        <v>9280</v>
      </c>
      <c r="F37" s="338">
        <v>533</v>
      </c>
      <c r="G37" s="338">
        <v>3662</v>
      </c>
      <c r="H37" s="338">
        <v>1960</v>
      </c>
      <c r="I37" s="338">
        <v>383</v>
      </c>
      <c r="J37" s="338">
        <v>436</v>
      </c>
      <c r="K37" s="338">
        <v>251</v>
      </c>
      <c r="L37" s="340">
        <v>666</v>
      </c>
      <c r="M37" s="338">
        <v>88613</v>
      </c>
      <c r="N37" s="340">
        <v>2485</v>
      </c>
      <c r="O37" s="338">
        <v>91098</v>
      </c>
    </row>
    <row r="38" spans="1:15">
      <c r="A38" s="331" t="s">
        <v>539</v>
      </c>
      <c r="B38" s="332" t="s">
        <v>540</v>
      </c>
      <c r="C38" s="334">
        <v>16346</v>
      </c>
      <c r="D38" s="339">
        <v>34516</v>
      </c>
      <c r="E38" s="334">
        <v>28839</v>
      </c>
      <c r="F38" s="334">
        <v>1673</v>
      </c>
      <c r="G38" s="334">
        <v>4785</v>
      </c>
      <c r="H38" s="334">
        <v>2429</v>
      </c>
      <c r="I38" s="334">
        <v>577</v>
      </c>
      <c r="J38" s="334">
        <v>1021</v>
      </c>
      <c r="K38" s="334">
        <v>692</v>
      </c>
      <c r="L38" s="335">
        <v>106</v>
      </c>
      <c r="M38" s="334">
        <v>90984</v>
      </c>
      <c r="N38" s="335">
        <v>4082</v>
      </c>
      <c r="O38" s="334">
        <v>95066</v>
      </c>
    </row>
    <row r="39" spans="1:15">
      <c r="A39" s="336" t="s">
        <v>541</v>
      </c>
      <c r="B39" s="337" t="s">
        <v>80</v>
      </c>
      <c r="C39" s="338">
        <v>17005</v>
      </c>
      <c r="D39" s="338">
        <v>20546</v>
      </c>
      <c r="E39" s="341">
        <v>23008</v>
      </c>
      <c r="F39" s="338">
        <v>1400</v>
      </c>
      <c r="G39" s="338">
        <v>5133</v>
      </c>
      <c r="H39" s="338">
        <v>1705</v>
      </c>
      <c r="I39" s="338">
        <v>436</v>
      </c>
      <c r="J39" s="338">
        <v>685</v>
      </c>
      <c r="K39" s="338">
        <v>406</v>
      </c>
      <c r="L39" s="340">
        <v>66</v>
      </c>
      <c r="M39" s="338">
        <v>70390</v>
      </c>
      <c r="N39" s="340">
        <v>2931</v>
      </c>
      <c r="O39" s="338">
        <v>73321</v>
      </c>
    </row>
    <row r="40" spans="1:15">
      <c r="A40" s="331" t="s">
        <v>542</v>
      </c>
      <c r="B40" s="332" t="s">
        <v>528</v>
      </c>
      <c r="C40" s="333">
        <v>30977</v>
      </c>
      <c r="D40" s="334">
        <v>27913</v>
      </c>
      <c r="E40" s="334">
        <v>13057</v>
      </c>
      <c r="F40" s="334">
        <v>1071</v>
      </c>
      <c r="G40" s="334">
        <v>2871</v>
      </c>
      <c r="H40" s="334">
        <v>1951</v>
      </c>
      <c r="I40" s="334">
        <v>372</v>
      </c>
      <c r="J40" s="334">
        <v>864</v>
      </c>
      <c r="K40" s="334">
        <v>209</v>
      </c>
      <c r="L40" s="335">
        <v>52</v>
      </c>
      <c r="M40" s="334">
        <v>79337</v>
      </c>
      <c r="N40" s="335">
        <v>2841</v>
      </c>
      <c r="O40" s="334">
        <v>82178</v>
      </c>
    </row>
    <row r="41" spans="1:15">
      <c r="A41" s="336" t="s">
        <v>543</v>
      </c>
      <c r="B41" s="337" t="s">
        <v>63</v>
      </c>
      <c r="C41" s="338">
        <v>3532</v>
      </c>
      <c r="D41" s="339">
        <v>14635</v>
      </c>
      <c r="E41" s="338">
        <v>3831</v>
      </c>
      <c r="F41" s="338">
        <v>6837</v>
      </c>
      <c r="G41" s="338">
        <v>255</v>
      </c>
      <c r="H41" s="338">
        <v>288</v>
      </c>
      <c r="I41" s="338">
        <v>43</v>
      </c>
      <c r="J41" s="338">
        <v>152</v>
      </c>
      <c r="K41" s="338">
        <v>1395</v>
      </c>
      <c r="L41" s="340">
        <v>64</v>
      </c>
      <c r="M41" s="338">
        <v>31032</v>
      </c>
      <c r="N41" s="340">
        <v>1259</v>
      </c>
      <c r="O41" s="338">
        <v>32291</v>
      </c>
    </row>
    <row r="42" spans="1:15">
      <c r="A42" s="331" t="s">
        <v>544</v>
      </c>
      <c r="B42" s="332" t="s">
        <v>545</v>
      </c>
      <c r="C42" s="334">
        <v>14931</v>
      </c>
      <c r="D42" s="339">
        <v>21871</v>
      </c>
      <c r="E42" s="334">
        <v>7730</v>
      </c>
      <c r="F42" s="334">
        <v>324</v>
      </c>
      <c r="G42" s="334">
        <v>2059</v>
      </c>
      <c r="H42" s="334">
        <v>6849</v>
      </c>
      <c r="I42" s="334">
        <v>502</v>
      </c>
      <c r="J42" s="334">
        <v>220</v>
      </c>
      <c r="K42" s="334">
        <v>836</v>
      </c>
      <c r="L42" s="335">
        <v>70</v>
      </c>
      <c r="M42" s="334">
        <v>55392</v>
      </c>
      <c r="N42" s="335">
        <v>1941</v>
      </c>
      <c r="O42" s="334">
        <v>57333</v>
      </c>
    </row>
    <row r="43" spans="1:15">
      <c r="A43" s="336" t="s">
        <v>546</v>
      </c>
      <c r="B43" s="337" t="s">
        <v>128</v>
      </c>
      <c r="C43" s="333">
        <v>23919</v>
      </c>
      <c r="D43" s="338">
        <v>17381</v>
      </c>
      <c r="E43" s="338">
        <v>4405</v>
      </c>
      <c r="F43" s="338">
        <v>188</v>
      </c>
      <c r="G43" s="338">
        <v>1137</v>
      </c>
      <c r="H43" s="338">
        <v>1428</v>
      </c>
      <c r="I43" s="338">
        <v>338</v>
      </c>
      <c r="J43" s="338">
        <v>265</v>
      </c>
      <c r="K43" s="338">
        <v>46</v>
      </c>
      <c r="L43" s="340">
        <v>17</v>
      </c>
      <c r="M43" s="338">
        <v>49124</v>
      </c>
      <c r="N43" s="340">
        <v>1413</v>
      </c>
      <c r="O43" s="338">
        <v>50537</v>
      </c>
    </row>
    <row r="44" spans="1:15">
      <c r="A44" s="331" t="s">
        <v>547</v>
      </c>
      <c r="B44" s="332" t="s">
        <v>524</v>
      </c>
      <c r="C44" s="334">
        <v>27466</v>
      </c>
      <c r="D44" s="339">
        <v>30031</v>
      </c>
      <c r="E44" s="334">
        <v>16019</v>
      </c>
      <c r="F44" s="334">
        <v>1408</v>
      </c>
      <c r="G44" s="334">
        <v>4725</v>
      </c>
      <c r="H44" s="334">
        <v>1567</v>
      </c>
      <c r="I44" s="334">
        <v>475</v>
      </c>
      <c r="J44" s="334">
        <v>840</v>
      </c>
      <c r="K44" s="334">
        <v>443</v>
      </c>
      <c r="L44" s="335">
        <v>71</v>
      </c>
      <c r="M44" s="334">
        <v>83045</v>
      </c>
      <c r="N44" s="335">
        <v>2968</v>
      </c>
      <c r="O44" s="334">
        <v>86013</v>
      </c>
    </row>
    <row r="45" spans="1:15">
      <c r="A45" s="336" t="s">
        <v>548</v>
      </c>
      <c r="B45" s="337" t="s">
        <v>549</v>
      </c>
      <c r="C45" s="338">
        <v>42908</v>
      </c>
      <c r="D45" s="339">
        <v>43132</v>
      </c>
      <c r="E45" s="338">
        <v>28108</v>
      </c>
      <c r="F45" s="338">
        <v>1641</v>
      </c>
      <c r="G45" s="338">
        <v>6573</v>
      </c>
      <c r="H45" s="338">
        <v>2816</v>
      </c>
      <c r="I45" s="338">
        <v>454</v>
      </c>
      <c r="J45" s="338">
        <v>730</v>
      </c>
      <c r="K45" s="338">
        <v>829</v>
      </c>
      <c r="L45" s="340">
        <v>65</v>
      </c>
      <c r="M45" s="338">
        <v>127256</v>
      </c>
      <c r="N45" s="340">
        <v>3826</v>
      </c>
      <c r="O45" s="338">
        <v>131082</v>
      </c>
    </row>
    <row r="46" spans="1:15">
      <c r="A46" s="331" t="s">
        <v>550</v>
      </c>
      <c r="B46" s="332" t="s">
        <v>85</v>
      </c>
      <c r="C46" s="334">
        <v>12741</v>
      </c>
      <c r="D46" s="334">
        <v>20609</v>
      </c>
      <c r="E46" s="341">
        <v>21367</v>
      </c>
      <c r="F46" s="334">
        <v>639</v>
      </c>
      <c r="G46" s="334">
        <v>855</v>
      </c>
      <c r="H46" s="334">
        <v>658</v>
      </c>
      <c r="I46" s="334">
        <v>26</v>
      </c>
      <c r="J46" s="334">
        <v>47</v>
      </c>
      <c r="K46" s="334">
        <v>77</v>
      </c>
      <c r="L46" s="335">
        <v>26</v>
      </c>
      <c r="M46" s="334">
        <v>57045</v>
      </c>
      <c r="N46" s="335">
        <v>1747</v>
      </c>
      <c r="O46" s="334">
        <v>58792</v>
      </c>
    </row>
    <row r="47" spans="1:15">
      <c r="A47" s="336" t="s">
        <v>551</v>
      </c>
      <c r="B47" s="337" t="s">
        <v>62</v>
      </c>
      <c r="C47" s="338">
        <v>12268</v>
      </c>
      <c r="D47" s="339">
        <v>22369</v>
      </c>
      <c r="E47" s="338">
        <v>12412</v>
      </c>
      <c r="F47" s="338">
        <v>531</v>
      </c>
      <c r="G47" s="338">
        <v>2263</v>
      </c>
      <c r="H47" s="338">
        <v>1509</v>
      </c>
      <c r="I47" s="338">
        <v>268</v>
      </c>
      <c r="J47" s="338">
        <v>325</v>
      </c>
      <c r="K47" s="338">
        <v>261</v>
      </c>
      <c r="L47" s="340">
        <v>74</v>
      </c>
      <c r="M47" s="338">
        <v>52280</v>
      </c>
      <c r="N47" s="340">
        <v>609</v>
      </c>
      <c r="O47" s="338">
        <v>52889</v>
      </c>
    </row>
    <row r="48" spans="1:15">
      <c r="A48" s="331" t="s">
        <v>552</v>
      </c>
      <c r="B48" s="332" t="s">
        <v>80</v>
      </c>
      <c r="C48" s="334">
        <v>9791</v>
      </c>
      <c r="D48" s="334">
        <v>18108</v>
      </c>
      <c r="E48" s="341">
        <v>28700</v>
      </c>
      <c r="F48" s="334">
        <v>918</v>
      </c>
      <c r="G48" s="334">
        <v>3906</v>
      </c>
      <c r="H48" s="334">
        <v>1340</v>
      </c>
      <c r="I48" s="334">
        <v>406</v>
      </c>
      <c r="J48" s="334">
        <v>914</v>
      </c>
      <c r="K48" s="334">
        <v>231</v>
      </c>
      <c r="L48" s="335">
        <v>58</v>
      </c>
      <c r="M48" s="334">
        <v>64372</v>
      </c>
      <c r="N48" s="335">
        <v>2491</v>
      </c>
      <c r="O48" s="334">
        <v>66863</v>
      </c>
    </row>
    <row r="49" spans="1:15">
      <c r="A49" s="336" t="s">
        <v>553</v>
      </c>
      <c r="B49" s="337" t="s">
        <v>528</v>
      </c>
      <c r="C49" s="338">
        <v>17463</v>
      </c>
      <c r="D49" s="339">
        <v>20437</v>
      </c>
      <c r="E49" s="338">
        <v>16460</v>
      </c>
      <c r="F49" s="338">
        <v>2537</v>
      </c>
      <c r="G49" s="338">
        <v>4360</v>
      </c>
      <c r="H49" s="338">
        <v>1891</v>
      </c>
      <c r="I49" s="338">
        <v>456</v>
      </c>
      <c r="J49" s="338">
        <v>509</v>
      </c>
      <c r="K49" s="338">
        <v>603</v>
      </c>
      <c r="L49" s="340">
        <v>67</v>
      </c>
      <c r="M49" s="338">
        <v>64783</v>
      </c>
      <c r="N49" s="340">
        <v>3656</v>
      </c>
      <c r="O49" s="338">
        <v>68439</v>
      </c>
    </row>
    <row r="50" spans="1:15">
      <c r="A50" s="331" t="s">
        <v>554</v>
      </c>
      <c r="B50" s="332" t="s">
        <v>555</v>
      </c>
      <c r="C50" s="333">
        <v>48427</v>
      </c>
      <c r="D50" s="334">
        <v>32672</v>
      </c>
      <c r="E50" s="334">
        <v>16080</v>
      </c>
      <c r="F50" s="334">
        <v>654</v>
      </c>
      <c r="G50" s="334">
        <v>4963</v>
      </c>
      <c r="H50" s="334">
        <v>3235</v>
      </c>
      <c r="I50" s="334">
        <v>778</v>
      </c>
      <c r="J50" s="334">
        <v>411</v>
      </c>
      <c r="K50" s="334">
        <v>549</v>
      </c>
      <c r="L50" s="335">
        <v>75</v>
      </c>
      <c r="M50" s="334">
        <v>107844</v>
      </c>
      <c r="N50" s="335">
        <v>3176</v>
      </c>
      <c r="O50" s="334">
        <v>111020</v>
      </c>
    </row>
    <row r="51" spans="1:15">
      <c r="A51" s="336" t="s">
        <v>556</v>
      </c>
      <c r="B51" s="337" t="s">
        <v>81</v>
      </c>
      <c r="C51" s="333">
        <v>34292</v>
      </c>
      <c r="D51" s="338">
        <v>23578</v>
      </c>
      <c r="E51" s="338">
        <v>5737</v>
      </c>
      <c r="F51" s="338">
        <v>607</v>
      </c>
      <c r="G51" s="338">
        <v>1835</v>
      </c>
      <c r="H51" s="338">
        <v>1288</v>
      </c>
      <c r="I51" s="338">
        <v>229</v>
      </c>
      <c r="J51" s="338">
        <v>511</v>
      </c>
      <c r="K51" s="338">
        <v>265</v>
      </c>
      <c r="L51" s="340">
        <v>64</v>
      </c>
      <c r="M51" s="338">
        <v>68406</v>
      </c>
      <c r="N51" s="340">
        <v>2773</v>
      </c>
      <c r="O51" s="338">
        <v>71179</v>
      </c>
    </row>
    <row r="52" spans="1:15">
      <c r="A52" s="331" t="s">
        <v>557</v>
      </c>
      <c r="B52" s="332" t="s">
        <v>558</v>
      </c>
      <c r="C52" s="334">
        <v>11354</v>
      </c>
      <c r="D52" s="339">
        <v>22113</v>
      </c>
      <c r="E52" s="334">
        <v>9315</v>
      </c>
      <c r="F52" s="334">
        <v>834</v>
      </c>
      <c r="G52" s="334">
        <v>846</v>
      </c>
      <c r="H52" s="334">
        <v>927</v>
      </c>
      <c r="I52" s="334">
        <v>588</v>
      </c>
      <c r="J52" s="334">
        <v>360</v>
      </c>
      <c r="K52" s="334">
        <v>1301</v>
      </c>
      <c r="L52" s="335">
        <v>58</v>
      </c>
      <c r="M52" s="334">
        <v>47696</v>
      </c>
      <c r="N52" s="335">
        <v>2102</v>
      </c>
      <c r="O52" s="334">
        <v>49798</v>
      </c>
    </row>
    <row r="53" spans="1:15">
      <c r="A53" s="342" t="s">
        <v>559</v>
      </c>
    </row>
    <row r="54" spans="1:15">
      <c r="A54" s="343" t="s">
        <v>560</v>
      </c>
    </row>
  </sheetData>
  <printOptions horizontalCentered="1"/>
  <pageMargins left="0.75" right="0.75" top="1" bottom="1" header="0" footer="0"/>
  <pageSetup scale="7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1"/>
  <sheetViews>
    <sheetView topLeftCell="D1" workbookViewId="0">
      <selection activeCell="I144" sqref="I144"/>
    </sheetView>
  </sheetViews>
  <sheetFormatPr baseColWidth="10" defaultRowHeight="12.75"/>
  <cols>
    <col min="1" max="1" width="6" bestFit="1" customWidth="1"/>
    <col min="2" max="2" width="32.42578125" customWidth="1"/>
    <col min="3" max="3" width="15.140625" customWidth="1"/>
    <col min="4" max="4" width="12.85546875" customWidth="1"/>
    <col min="5" max="5" width="12" customWidth="1"/>
    <col min="6" max="6" width="9.85546875" customWidth="1"/>
    <col min="7" max="7" width="11.28515625" customWidth="1"/>
    <col min="8" max="8" width="12.42578125" customWidth="1"/>
    <col min="9" max="9" width="12.28515625" customWidth="1"/>
    <col min="10" max="10" width="11.7109375" customWidth="1"/>
    <col min="11" max="11" width="9.5703125" customWidth="1"/>
    <col min="12" max="12" width="10.5703125" customWidth="1"/>
    <col min="13" max="13" width="10.85546875" customWidth="1"/>
    <col min="14" max="14" width="11" customWidth="1"/>
    <col min="15" max="15" width="17.140625" customWidth="1"/>
    <col min="16" max="16" width="16.28515625" customWidth="1"/>
    <col min="17" max="17" width="15.85546875" customWidth="1"/>
  </cols>
  <sheetData>
    <row r="1" spans="1:17" ht="22.5">
      <c r="C1" s="314" t="s">
        <v>186</v>
      </c>
    </row>
    <row r="2" spans="1:17" ht="20.25">
      <c r="C2" s="316" t="s">
        <v>491</v>
      </c>
    </row>
    <row r="3" spans="1:17" ht="6.75" customHeight="1"/>
    <row r="4" spans="1:17" ht="15.75">
      <c r="C4" s="320" t="s">
        <v>652</v>
      </c>
      <c r="Q4" s="396" t="s">
        <v>493</v>
      </c>
    </row>
    <row r="5" spans="1:17">
      <c r="A5" s="323" t="s">
        <v>653</v>
      </c>
      <c r="B5" s="323" t="s">
        <v>197</v>
      </c>
      <c r="C5" s="323" t="s">
        <v>7</v>
      </c>
      <c r="D5" s="323" t="s">
        <v>8</v>
      </c>
      <c r="E5" s="323" t="s">
        <v>10</v>
      </c>
      <c r="F5" s="323" t="s">
        <v>11</v>
      </c>
      <c r="G5" s="323" t="s">
        <v>12</v>
      </c>
      <c r="H5" s="323" t="s">
        <v>654</v>
      </c>
      <c r="I5" s="323" t="s">
        <v>655</v>
      </c>
      <c r="J5" s="323" t="s">
        <v>564</v>
      </c>
      <c r="K5" s="323" t="s">
        <v>656</v>
      </c>
      <c r="L5" s="323" t="s">
        <v>565</v>
      </c>
      <c r="M5" s="323" t="s">
        <v>657</v>
      </c>
      <c r="N5" s="323" t="s">
        <v>398</v>
      </c>
      <c r="O5" s="323" t="s">
        <v>500</v>
      </c>
      <c r="P5" s="323" t="s">
        <v>399</v>
      </c>
      <c r="Q5" s="323" t="s">
        <v>22</v>
      </c>
    </row>
    <row r="6" spans="1:17">
      <c r="A6" s="324"/>
      <c r="B6" s="325" t="s">
        <v>501</v>
      </c>
      <c r="C6" s="326">
        <f>SUM(C8:C129)</f>
        <v>1835965</v>
      </c>
      <c r="D6" s="326">
        <f t="shared" ref="D6:Q6" si="0">SUM(D8:D129)</f>
        <v>1623997</v>
      </c>
      <c r="E6" s="326">
        <f t="shared" si="0"/>
        <v>974441</v>
      </c>
      <c r="F6" s="326">
        <f t="shared" si="0"/>
        <v>89173</v>
      </c>
      <c r="G6" s="326">
        <f t="shared" si="0"/>
        <v>106483</v>
      </c>
      <c r="H6" s="326">
        <f t="shared" si="0"/>
        <v>16152</v>
      </c>
      <c r="I6" s="326">
        <f t="shared" si="0"/>
        <v>47678</v>
      </c>
      <c r="J6" s="326">
        <f t="shared" si="0"/>
        <v>6306</v>
      </c>
      <c r="K6" s="326">
        <f t="shared" si="0"/>
        <v>33411</v>
      </c>
      <c r="L6" s="326">
        <f t="shared" si="0"/>
        <v>14737</v>
      </c>
      <c r="M6" s="326">
        <f t="shared" si="0"/>
        <v>62299</v>
      </c>
      <c r="N6" s="326">
        <f t="shared" si="0"/>
        <v>20360</v>
      </c>
      <c r="O6" s="326">
        <f t="shared" si="0"/>
        <v>4831002</v>
      </c>
      <c r="P6" s="326">
        <f t="shared" si="0"/>
        <v>110520</v>
      </c>
      <c r="Q6" s="326">
        <f t="shared" si="0"/>
        <v>4941522</v>
      </c>
    </row>
    <row r="7" spans="1:17">
      <c r="A7" s="328"/>
      <c r="B7" s="329" t="s">
        <v>217</v>
      </c>
      <c r="C7" s="330">
        <f>C6/$O6</f>
        <v>0.38003813701588202</v>
      </c>
      <c r="D7" s="330">
        <f t="shared" ref="D7:N7" si="1">D6/$O6</f>
        <v>0.33616152508320218</v>
      </c>
      <c r="E7" s="330">
        <f t="shared" si="1"/>
        <v>0.20170577449564292</v>
      </c>
      <c r="F7" s="330">
        <f t="shared" si="1"/>
        <v>1.8458489563862736E-2</v>
      </c>
      <c r="G7" s="330">
        <f t="shared" si="1"/>
        <v>2.2041597167626922E-2</v>
      </c>
      <c r="H7" s="330">
        <f t="shared" si="1"/>
        <v>3.343405777931783E-3</v>
      </c>
      <c r="I7" s="330">
        <f t="shared" si="1"/>
        <v>9.8691741382015575E-3</v>
      </c>
      <c r="J7" s="330">
        <f t="shared" si="1"/>
        <v>1.3053192691702467E-3</v>
      </c>
      <c r="K7" s="330">
        <f t="shared" si="1"/>
        <v>6.9159565655323675E-3</v>
      </c>
      <c r="L7" s="330">
        <f t="shared" si="1"/>
        <v>3.050505878490632E-3</v>
      </c>
      <c r="M7" s="330">
        <f t="shared" si="1"/>
        <v>1.2895668434829876E-2</v>
      </c>
      <c r="N7" s="330">
        <f t="shared" si="1"/>
        <v>4.2144466096267399E-3</v>
      </c>
      <c r="O7" s="330">
        <f>O6/Q6</f>
        <v>0.97763442113583632</v>
      </c>
      <c r="P7" s="330">
        <f>P6/Q6</f>
        <v>2.2365578864163713E-2</v>
      </c>
      <c r="Q7" s="330"/>
    </row>
    <row r="8" spans="1:17">
      <c r="A8" s="397">
        <v>1</v>
      </c>
      <c r="B8" s="398" t="s">
        <v>25</v>
      </c>
      <c r="C8" s="399">
        <v>6300</v>
      </c>
      <c r="D8" s="339">
        <v>8691</v>
      </c>
      <c r="E8" s="399">
        <v>1003</v>
      </c>
      <c r="F8" s="399">
        <v>163</v>
      </c>
      <c r="G8" s="399">
        <v>68</v>
      </c>
      <c r="H8" s="399">
        <v>23</v>
      </c>
      <c r="I8" s="399">
        <v>34</v>
      </c>
      <c r="J8" s="399">
        <v>40</v>
      </c>
      <c r="K8" s="399">
        <v>45</v>
      </c>
      <c r="L8" s="400">
        <v>39</v>
      </c>
      <c r="M8" s="401">
        <v>8</v>
      </c>
      <c r="N8" s="400">
        <v>37</v>
      </c>
      <c r="O8" s="402">
        <v>16451</v>
      </c>
      <c r="P8" s="403">
        <v>993</v>
      </c>
      <c r="Q8" s="399">
        <v>17444</v>
      </c>
    </row>
    <row r="9" spans="1:17">
      <c r="A9" s="404">
        <v>2</v>
      </c>
      <c r="B9" s="405" t="s">
        <v>27</v>
      </c>
      <c r="C9" s="406">
        <v>2791</v>
      </c>
      <c r="D9" s="406">
        <v>7630</v>
      </c>
      <c r="E9" s="407">
        <v>12021</v>
      </c>
      <c r="F9" s="406">
        <v>796</v>
      </c>
      <c r="G9" s="406">
        <v>249</v>
      </c>
      <c r="H9" s="406">
        <v>33</v>
      </c>
      <c r="I9" s="406">
        <v>511</v>
      </c>
      <c r="J9" s="406">
        <v>23</v>
      </c>
      <c r="K9" s="406">
        <v>65</v>
      </c>
      <c r="L9" s="408">
        <v>10</v>
      </c>
      <c r="M9" s="406">
        <v>6</v>
      </c>
      <c r="N9" s="408">
        <v>2</v>
      </c>
      <c r="O9" s="409">
        <v>24137</v>
      </c>
      <c r="P9" s="410">
        <v>409</v>
      </c>
      <c r="Q9" s="406">
        <v>24546</v>
      </c>
    </row>
    <row r="10" spans="1:17">
      <c r="A10" s="397">
        <v>3</v>
      </c>
      <c r="B10" s="398" t="s">
        <v>571</v>
      </c>
      <c r="C10" s="399">
        <v>3403</v>
      </c>
      <c r="D10" s="339">
        <v>7100</v>
      </c>
      <c r="E10" s="399">
        <v>1638</v>
      </c>
      <c r="F10" s="399">
        <v>66</v>
      </c>
      <c r="G10" s="399">
        <v>864</v>
      </c>
      <c r="H10" s="399">
        <v>14</v>
      </c>
      <c r="I10" s="399">
        <v>23</v>
      </c>
      <c r="J10" s="399">
        <v>10</v>
      </c>
      <c r="K10" s="399">
        <v>18</v>
      </c>
      <c r="L10" s="400">
        <v>15</v>
      </c>
      <c r="M10" s="401">
        <v>7</v>
      </c>
      <c r="N10" s="400">
        <v>31</v>
      </c>
      <c r="O10" s="402">
        <v>13189</v>
      </c>
      <c r="P10" s="403">
        <v>480</v>
      </c>
      <c r="Q10" s="399">
        <v>13669</v>
      </c>
    </row>
    <row r="11" spans="1:17">
      <c r="A11" s="404">
        <v>4</v>
      </c>
      <c r="B11" s="405" t="s">
        <v>29</v>
      </c>
      <c r="C11" s="406">
        <v>1416</v>
      </c>
      <c r="D11" s="339">
        <v>2299</v>
      </c>
      <c r="E11" s="406">
        <v>541</v>
      </c>
      <c r="F11" s="406">
        <v>63</v>
      </c>
      <c r="G11" s="406">
        <v>11</v>
      </c>
      <c r="H11" s="406">
        <v>0</v>
      </c>
      <c r="I11" s="406">
        <v>163</v>
      </c>
      <c r="J11" s="406">
        <v>0</v>
      </c>
      <c r="K11" s="406">
        <v>0</v>
      </c>
      <c r="L11" s="408">
        <v>0</v>
      </c>
      <c r="M11" s="406">
        <v>0</v>
      </c>
      <c r="N11" s="408">
        <v>22</v>
      </c>
      <c r="O11" s="409">
        <v>4515</v>
      </c>
      <c r="P11" s="410">
        <v>169</v>
      </c>
      <c r="Q11" s="406">
        <v>4684</v>
      </c>
    </row>
    <row r="12" spans="1:17">
      <c r="A12" s="397">
        <v>5</v>
      </c>
      <c r="B12" s="398" t="s">
        <v>658</v>
      </c>
      <c r="C12" s="411">
        <v>16257</v>
      </c>
      <c r="D12" s="399">
        <v>15957</v>
      </c>
      <c r="E12" s="399">
        <v>2593</v>
      </c>
      <c r="F12" s="399">
        <v>805</v>
      </c>
      <c r="G12" s="399">
        <v>332</v>
      </c>
      <c r="H12" s="399">
        <v>20</v>
      </c>
      <c r="I12" s="399">
        <v>107</v>
      </c>
      <c r="J12" s="399">
        <v>47</v>
      </c>
      <c r="K12" s="399">
        <v>61</v>
      </c>
      <c r="L12" s="400">
        <v>77</v>
      </c>
      <c r="M12" s="401">
        <v>59</v>
      </c>
      <c r="N12" s="400">
        <v>20</v>
      </c>
      <c r="O12" s="402">
        <v>36335</v>
      </c>
      <c r="P12" s="403">
        <v>1157</v>
      </c>
      <c r="Q12" s="399">
        <v>37492</v>
      </c>
    </row>
    <row r="13" spans="1:17">
      <c r="A13" s="404">
        <v>6</v>
      </c>
      <c r="B13" s="405" t="s">
        <v>32</v>
      </c>
      <c r="C13" s="406">
        <v>631</v>
      </c>
      <c r="D13" s="406">
        <v>1361</v>
      </c>
      <c r="E13" s="407">
        <v>1414</v>
      </c>
      <c r="F13" s="406">
        <v>29</v>
      </c>
      <c r="G13" s="406">
        <v>40</v>
      </c>
      <c r="H13" s="406">
        <v>1</v>
      </c>
      <c r="I13" s="406">
        <v>0</v>
      </c>
      <c r="J13" s="406">
        <v>1</v>
      </c>
      <c r="K13" s="406">
        <v>3</v>
      </c>
      <c r="L13" s="408">
        <v>2</v>
      </c>
      <c r="M13" s="406">
        <v>3</v>
      </c>
      <c r="N13" s="408">
        <v>1</v>
      </c>
      <c r="O13" s="409">
        <v>3486</v>
      </c>
      <c r="P13" s="410">
        <v>46</v>
      </c>
      <c r="Q13" s="406">
        <v>3532</v>
      </c>
    </row>
    <row r="14" spans="1:17">
      <c r="A14" s="397">
        <v>7</v>
      </c>
      <c r="B14" s="398" t="s">
        <v>33</v>
      </c>
      <c r="C14" s="399">
        <v>1680</v>
      </c>
      <c r="D14" s="339">
        <v>3309</v>
      </c>
      <c r="E14" s="399">
        <v>676</v>
      </c>
      <c r="F14" s="399">
        <v>49</v>
      </c>
      <c r="G14" s="399">
        <v>18</v>
      </c>
      <c r="H14" s="399">
        <v>14</v>
      </c>
      <c r="I14" s="399">
        <v>726</v>
      </c>
      <c r="J14" s="399">
        <v>12</v>
      </c>
      <c r="K14" s="399">
        <v>8</v>
      </c>
      <c r="L14" s="400">
        <v>3</v>
      </c>
      <c r="M14" s="401">
        <v>2</v>
      </c>
      <c r="N14" s="400">
        <v>24</v>
      </c>
      <c r="O14" s="402">
        <v>6521</v>
      </c>
      <c r="P14" s="403">
        <v>541</v>
      </c>
      <c r="Q14" s="399">
        <v>7062</v>
      </c>
    </row>
    <row r="15" spans="1:17">
      <c r="A15" s="404">
        <v>8</v>
      </c>
      <c r="B15" s="405" t="s">
        <v>35</v>
      </c>
      <c r="C15" s="406">
        <v>643</v>
      </c>
      <c r="D15" s="339">
        <v>6120</v>
      </c>
      <c r="E15" s="406">
        <v>2925</v>
      </c>
      <c r="F15" s="406">
        <v>0</v>
      </c>
      <c r="G15" s="406">
        <v>16</v>
      </c>
      <c r="H15" s="406">
        <v>0</v>
      </c>
      <c r="I15" s="406">
        <v>0</v>
      </c>
      <c r="J15" s="406">
        <v>0</v>
      </c>
      <c r="K15" s="406">
        <v>158</v>
      </c>
      <c r="L15" s="408">
        <v>0</v>
      </c>
      <c r="M15" s="406">
        <v>0</v>
      </c>
      <c r="N15" s="408">
        <v>71</v>
      </c>
      <c r="O15" s="409">
        <v>9933</v>
      </c>
      <c r="P15" s="410">
        <v>492</v>
      </c>
      <c r="Q15" s="406">
        <v>10425</v>
      </c>
    </row>
    <row r="16" spans="1:17">
      <c r="A16" s="397">
        <v>9</v>
      </c>
      <c r="B16" s="398" t="s">
        <v>36</v>
      </c>
      <c r="C16" s="399">
        <v>4291</v>
      </c>
      <c r="D16" s="399">
        <v>5556</v>
      </c>
      <c r="E16" s="407">
        <v>7890</v>
      </c>
      <c r="F16" s="399">
        <v>335</v>
      </c>
      <c r="G16" s="399">
        <v>317</v>
      </c>
      <c r="H16" s="399">
        <v>17</v>
      </c>
      <c r="I16" s="399">
        <v>80</v>
      </c>
      <c r="J16" s="399">
        <v>17</v>
      </c>
      <c r="K16" s="399">
        <v>48</v>
      </c>
      <c r="L16" s="400">
        <v>32</v>
      </c>
      <c r="M16" s="401">
        <v>69</v>
      </c>
      <c r="N16" s="400">
        <v>3</v>
      </c>
      <c r="O16" s="402">
        <v>18655</v>
      </c>
      <c r="P16" s="403">
        <v>612</v>
      </c>
      <c r="Q16" s="399">
        <v>19267</v>
      </c>
    </row>
    <row r="17" spans="1:17">
      <c r="A17" s="404">
        <v>10</v>
      </c>
      <c r="B17" s="405" t="s">
        <v>37</v>
      </c>
      <c r="C17" s="411">
        <v>4109</v>
      </c>
      <c r="D17" s="406">
        <v>2570</v>
      </c>
      <c r="E17" s="406">
        <v>506</v>
      </c>
      <c r="F17" s="406">
        <v>20</v>
      </c>
      <c r="G17" s="406">
        <v>2284</v>
      </c>
      <c r="H17" s="406">
        <v>0</v>
      </c>
      <c r="I17" s="406">
        <v>0</v>
      </c>
      <c r="J17" s="406">
        <v>0</v>
      </c>
      <c r="K17" s="406">
        <v>0</v>
      </c>
      <c r="L17" s="408">
        <v>0</v>
      </c>
      <c r="M17" s="406">
        <v>3</v>
      </c>
      <c r="N17" s="408">
        <v>4</v>
      </c>
      <c r="O17" s="409">
        <v>9496</v>
      </c>
      <c r="P17" s="410">
        <v>191</v>
      </c>
      <c r="Q17" s="406">
        <v>9687</v>
      </c>
    </row>
    <row r="18" spans="1:17">
      <c r="A18" s="397">
        <v>11</v>
      </c>
      <c r="B18" s="398" t="s">
        <v>38</v>
      </c>
      <c r="C18" s="399">
        <v>2516</v>
      </c>
      <c r="D18" s="339">
        <v>4519</v>
      </c>
      <c r="E18" s="399">
        <v>2191</v>
      </c>
      <c r="F18" s="399">
        <v>392</v>
      </c>
      <c r="G18" s="399">
        <v>90</v>
      </c>
      <c r="H18" s="399">
        <v>1530</v>
      </c>
      <c r="I18" s="399">
        <v>0</v>
      </c>
      <c r="J18" s="399">
        <v>0</v>
      </c>
      <c r="K18" s="399">
        <v>77</v>
      </c>
      <c r="L18" s="400">
        <v>1175</v>
      </c>
      <c r="M18" s="401">
        <v>0</v>
      </c>
      <c r="N18" s="400">
        <v>36</v>
      </c>
      <c r="O18" s="402">
        <v>12526</v>
      </c>
      <c r="P18" s="403">
        <v>292</v>
      </c>
      <c r="Q18" s="399">
        <v>12818</v>
      </c>
    </row>
    <row r="19" spans="1:17">
      <c r="A19" s="404">
        <v>12</v>
      </c>
      <c r="B19" s="405" t="s">
        <v>39</v>
      </c>
      <c r="C19" s="406">
        <v>859</v>
      </c>
      <c r="D19" s="339">
        <v>1198</v>
      </c>
      <c r="E19" s="406">
        <v>626</v>
      </c>
      <c r="F19" s="406">
        <v>21</v>
      </c>
      <c r="G19" s="406">
        <v>17</v>
      </c>
      <c r="H19" s="406">
        <v>0</v>
      </c>
      <c r="I19" s="406">
        <v>0</v>
      </c>
      <c r="J19" s="406">
        <v>0</v>
      </c>
      <c r="K19" s="406">
        <v>0</v>
      </c>
      <c r="L19" s="408">
        <v>0</v>
      </c>
      <c r="M19" s="406">
        <v>0</v>
      </c>
      <c r="N19" s="408">
        <v>3</v>
      </c>
      <c r="O19" s="409">
        <v>2724</v>
      </c>
      <c r="P19" s="410">
        <v>74</v>
      </c>
      <c r="Q19" s="406">
        <v>2798</v>
      </c>
    </row>
    <row r="20" spans="1:17">
      <c r="A20" s="397">
        <v>13</v>
      </c>
      <c r="B20" s="398" t="s">
        <v>40</v>
      </c>
      <c r="C20" s="411">
        <v>102283</v>
      </c>
      <c r="D20" s="399">
        <v>47120</v>
      </c>
      <c r="E20" s="399">
        <v>20190</v>
      </c>
      <c r="F20" s="399">
        <v>1330</v>
      </c>
      <c r="G20" s="399">
        <v>2786</v>
      </c>
      <c r="H20" s="399">
        <v>741</v>
      </c>
      <c r="I20" s="399">
        <v>1557</v>
      </c>
      <c r="J20" s="399">
        <v>84</v>
      </c>
      <c r="K20" s="399">
        <v>570</v>
      </c>
      <c r="L20" s="400">
        <v>201</v>
      </c>
      <c r="M20" s="401">
        <v>6596</v>
      </c>
      <c r="N20" s="400">
        <v>2380</v>
      </c>
      <c r="O20" s="402">
        <v>185838</v>
      </c>
      <c r="P20" s="403">
        <v>2891</v>
      </c>
      <c r="Q20" s="399">
        <v>188729</v>
      </c>
    </row>
    <row r="21" spans="1:17">
      <c r="A21" s="404">
        <v>14</v>
      </c>
      <c r="B21" s="405" t="s">
        <v>41</v>
      </c>
      <c r="C21" s="406">
        <v>6746</v>
      </c>
      <c r="D21" s="339">
        <v>11879</v>
      </c>
      <c r="E21" s="406">
        <v>4671</v>
      </c>
      <c r="F21" s="406">
        <v>148</v>
      </c>
      <c r="G21" s="406">
        <v>157</v>
      </c>
      <c r="H21" s="406">
        <v>16</v>
      </c>
      <c r="I21" s="406">
        <v>98</v>
      </c>
      <c r="J21" s="406">
        <v>13</v>
      </c>
      <c r="K21" s="406">
        <v>38</v>
      </c>
      <c r="L21" s="408">
        <v>29</v>
      </c>
      <c r="M21" s="406">
        <v>11</v>
      </c>
      <c r="N21" s="408">
        <v>36</v>
      </c>
      <c r="O21" s="409">
        <v>23842</v>
      </c>
      <c r="P21" s="410">
        <v>738</v>
      </c>
      <c r="Q21" s="406">
        <v>24580</v>
      </c>
    </row>
    <row r="22" spans="1:17">
      <c r="A22" s="397">
        <v>15</v>
      </c>
      <c r="B22" s="398" t="s">
        <v>42</v>
      </c>
      <c r="C22" s="399">
        <v>988</v>
      </c>
      <c r="D22" s="339">
        <v>3112</v>
      </c>
      <c r="E22" s="399">
        <v>2737</v>
      </c>
      <c r="F22" s="399">
        <v>60</v>
      </c>
      <c r="G22" s="399">
        <v>1038</v>
      </c>
      <c r="H22" s="399">
        <v>9</v>
      </c>
      <c r="I22" s="399">
        <v>145</v>
      </c>
      <c r="J22" s="399">
        <v>10</v>
      </c>
      <c r="K22" s="399">
        <v>36</v>
      </c>
      <c r="L22" s="400">
        <v>8</v>
      </c>
      <c r="M22" s="401">
        <v>28</v>
      </c>
      <c r="N22" s="400">
        <v>3</v>
      </c>
      <c r="O22" s="402">
        <v>8174</v>
      </c>
      <c r="P22" s="403">
        <v>253</v>
      </c>
      <c r="Q22" s="399">
        <v>8427</v>
      </c>
    </row>
    <row r="23" spans="1:17">
      <c r="A23" s="404">
        <v>16</v>
      </c>
      <c r="B23" s="405" t="s">
        <v>577</v>
      </c>
      <c r="C23" s="411">
        <v>3177</v>
      </c>
      <c r="D23" s="406">
        <v>3165</v>
      </c>
      <c r="E23" s="406">
        <v>1134</v>
      </c>
      <c r="F23" s="406">
        <v>0</v>
      </c>
      <c r="G23" s="406">
        <v>62</v>
      </c>
      <c r="H23" s="406">
        <v>0</v>
      </c>
      <c r="I23" s="406">
        <v>185</v>
      </c>
      <c r="J23" s="406">
        <v>7</v>
      </c>
      <c r="K23" s="406">
        <v>20</v>
      </c>
      <c r="L23" s="408">
        <v>0</v>
      </c>
      <c r="M23" s="406">
        <v>30</v>
      </c>
      <c r="N23" s="408">
        <v>54</v>
      </c>
      <c r="O23" s="409">
        <v>7834</v>
      </c>
      <c r="P23" s="410">
        <v>161</v>
      </c>
      <c r="Q23" s="406">
        <v>7995</v>
      </c>
    </row>
    <row r="24" spans="1:17">
      <c r="A24" s="397">
        <v>17</v>
      </c>
      <c r="B24" s="398" t="s">
        <v>43</v>
      </c>
      <c r="C24" s="399">
        <v>528</v>
      </c>
      <c r="D24" s="339">
        <v>987</v>
      </c>
      <c r="E24" s="399">
        <v>175</v>
      </c>
      <c r="F24" s="399">
        <v>26</v>
      </c>
      <c r="G24" s="399">
        <v>632</v>
      </c>
      <c r="H24" s="399">
        <v>3</v>
      </c>
      <c r="I24" s="399">
        <v>1</v>
      </c>
      <c r="J24" s="399">
        <v>1</v>
      </c>
      <c r="K24" s="399">
        <v>6</v>
      </c>
      <c r="L24" s="400">
        <v>1</v>
      </c>
      <c r="M24" s="401">
        <v>4</v>
      </c>
      <c r="N24" s="400">
        <v>3</v>
      </c>
      <c r="O24" s="402">
        <v>2367</v>
      </c>
      <c r="P24" s="403">
        <v>110</v>
      </c>
      <c r="Q24" s="399">
        <v>2477</v>
      </c>
    </row>
    <row r="25" spans="1:17">
      <c r="A25" s="404">
        <v>18</v>
      </c>
      <c r="B25" s="405" t="s">
        <v>44</v>
      </c>
      <c r="C25" s="406">
        <v>2365</v>
      </c>
      <c r="D25" s="339">
        <v>5028</v>
      </c>
      <c r="E25" s="406">
        <v>2676</v>
      </c>
      <c r="F25" s="406">
        <v>1357</v>
      </c>
      <c r="G25" s="406">
        <v>261</v>
      </c>
      <c r="H25" s="406">
        <v>2</v>
      </c>
      <c r="I25" s="406">
        <v>33</v>
      </c>
      <c r="J25" s="406">
        <v>24</v>
      </c>
      <c r="K25" s="406">
        <v>16</v>
      </c>
      <c r="L25" s="408">
        <v>16</v>
      </c>
      <c r="M25" s="406">
        <v>2</v>
      </c>
      <c r="N25" s="408">
        <v>3</v>
      </c>
      <c r="O25" s="409">
        <v>11783</v>
      </c>
      <c r="P25" s="410">
        <v>372</v>
      </c>
      <c r="Q25" s="406">
        <v>12155</v>
      </c>
    </row>
    <row r="26" spans="1:17">
      <c r="A26" s="397">
        <v>19</v>
      </c>
      <c r="B26" s="398" t="s">
        <v>45</v>
      </c>
      <c r="C26" s="399">
        <v>1840</v>
      </c>
      <c r="D26" s="399">
        <v>3337</v>
      </c>
      <c r="E26" s="407">
        <v>3840</v>
      </c>
      <c r="F26" s="399">
        <v>232</v>
      </c>
      <c r="G26" s="399">
        <v>60</v>
      </c>
      <c r="H26" s="399">
        <v>22</v>
      </c>
      <c r="I26" s="399">
        <v>13</v>
      </c>
      <c r="J26" s="399">
        <v>3</v>
      </c>
      <c r="K26" s="399">
        <v>8</v>
      </c>
      <c r="L26" s="400">
        <v>4</v>
      </c>
      <c r="M26" s="401">
        <v>16</v>
      </c>
      <c r="N26" s="400">
        <v>0</v>
      </c>
      <c r="O26" s="402">
        <v>9375</v>
      </c>
      <c r="P26" s="403">
        <v>141</v>
      </c>
      <c r="Q26" s="399">
        <v>9516</v>
      </c>
    </row>
    <row r="27" spans="1:17">
      <c r="A27" s="404">
        <v>20</v>
      </c>
      <c r="B27" s="405" t="s">
        <v>549</v>
      </c>
      <c r="C27" s="411">
        <v>50594</v>
      </c>
      <c r="D27" s="406">
        <v>28535</v>
      </c>
      <c r="E27" s="406">
        <v>16303</v>
      </c>
      <c r="F27" s="406">
        <v>1764</v>
      </c>
      <c r="G27" s="406">
        <v>1573</v>
      </c>
      <c r="H27" s="406">
        <v>129</v>
      </c>
      <c r="I27" s="406">
        <v>1044</v>
      </c>
      <c r="J27" s="406">
        <v>500</v>
      </c>
      <c r="K27" s="406">
        <v>353</v>
      </c>
      <c r="L27" s="408">
        <v>38</v>
      </c>
      <c r="M27" s="406">
        <v>134</v>
      </c>
      <c r="N27" s="408">
        <v>23</v>
      </c>
      <c r="O27" s="409">
        <v>100990</v>
      </c>
      <c r="P27" s="410">
        <v>1316</v>
      </c>
      <c r="Q27" s="406">
        <v>102306</v>
      </c>
    </row>
    <row r="28" spans="1:17">
      <c r="A28" s="397">
        <v>21</v>
      </c>
      <c r="B28" s="398" t="s">
        <v>46</v>
      </c>
      <c r="C28" s="411">
        <v>4502</v>
      </c>
      <c r="D28" s="399">
        <v>3097</v>
      </c>
      <c r="E28" s="399">
        <v>1418</v>
      </c>
      <c r="F28" s="399">
        <v>144</v>
      </c>
      <c r="G28" s="399">
        <v>35</v>
      </c>
      <c r="H28" s="399">
        <v>3</v>
      </c>
      <c r="I28" s="399">
        <v>11</v>
      </c>
      <c r="J28" s="399">
        <v>7</v>
      </c>
      <c r="K28" s="399">
        <v>6</v>
      </c>
      <c r="L28" s="400">
        <v>6</v>
      </c>
      <c r="M28" s="401">
        <v>0</v>
      </c>
      <c r="N28" s="400">
        <v>22</v>
      </c>
      <c r="O28" s="402">
        <v>9251</v>
      </c>
      <c r="P28" s="403">
        <v>472</v>
      </c>
      <c r="Q28" s="399">
        <v>9723</v>
      </c>
    </row>
    <row r="29" spans="1:17">
      <c r="A29" s="404">
        <v>22</v>
      </c>
      <c r="B29" s="405" t="s">
        <v>47</v>
      </c>
      <c r="C29" s="406">
        <v>305</v>
      </c>
      <c r="D29" s="406">
        <v>975</v>
      </c>
      <c r="E29" s="407">
        <v>2140</v>
      </c>
      <c r="F29" s="406">
        <v>6</v>
      </c>
      <c r="G29" s="406">
        <v>1408</v>
      </c>
      <c r="H29" s="406">
        <v>1</v>
      </c>
      <c r="I29" s="406">
        <v>3</v>
      </c>
      <c r="J29" s="406">
        <v>6</v>
      </c>
      <c r="K29" s="406">
        <v>16</v>
      </c>
      <c r="L29" s="408">
        <v>0</v>
      </c>
      <c r="M29" s="406">
        <v>5</v>
      </c>
      <c r="N29" s="408">
        <v>7</v>
      </c>
      <c r="O29" s="409">
        <v>4872</v>
      </c>
      <c r="P29" s="410">
        <v>168</v>
      </c>
      <c r="Q29" s="406">
        <v>5040</v>
      </c>
    </row>
    <row r="30" spans="1:17">
      <c r="A30" s="397">
        <v>23</v>
      </c>
      <c r="B30" s="398" t="s">
        <v>48</v>
      </c>
      <c r="C30" s="399">
        <v>4204</v>
      </c>
      <c r="D30" s="339">
        <v>4761</v>
      </c>
      <c r="E30" s="399">
        <v>1285</v>
      </c>
      <c r="F30" s="399">
        <v>1697</v>
      </c>
      <c r="G30" s="399">
        <v>435</v>
      </c>
      <c r="H30" s="399">
        <v>0</v>
      </c>
      <c r="I30" s="399">
        <v>300</v>
      </c>
      <c r="J30" s="399">
        <v>1</v>
      </c>
      <c r="K30" s="399">
        <v>6</v>
      </c>
      <c r="L30" s="400">
        <v>3</v>
      </c>
      <c r="M30" s="401">
        <v>35</v>
      </c>
      <c r="N30" s="400">
        <v>6</v>
      </c>
      <c r="O30" s="402">
        <v>12733</v>
      </c>
      <c r="P30" s="403">
        <v>336</v>
      </c>
      <c r="Q30" s="399">
        <v>13069</v>
      </c>
    </row>
    <row r="31" spans="1:17">
      <c r="A31" s="404">
        <v>24</v>
      </c>
      <c r="B31" s="405" t="s">
        <v>49</v>
      </c>
      <c r="C31" s="411">
        <v>10679</v>
      </c>
      <c r="D31" s="406">
        <v>9994</v>
      </c>
      <c r="E31" s="406">
        <v>2255</v>
      </c>
      <c r="F31" s="406">
        <v>172</v>
      </c>
      <c r="G31" s="406">
        <v>244</v>
      </c>
      <c r="H31" s="406">
        <v>60</v>
      </c>
      <c r="I31" s="406">
        <v>2530</v>
      </c>
      <c r="J31" s="406">
        <v>9</v>
      </c>
      <c r="K31" s="406">
        <v>128</v>
      </c>
      <c r="L31" s="408">
        <v>4</v>
      </c>
      <c r="M31" s="406">
        <v>324</v>
      </c>
      <c r="N31" s="408">
        <v>11</v>
      </c>
      <c r="O31" s="409">
        <v>26410</v>
      </c>
      <c r="P31" s="410">
        <v>348</v>
      </c>
      <c r="Q31" s="406">
        <v>26758</v>
      </c>
    </row>
    <row r="32" spans="1:17">
      <c r="A32" s="397">
        <v>25</v>
      </c>
      <c r="B32" s="398" t="s">
        <v>555</v>
      </c>
      <c r="C32" s="411">
        <v>105734</v>
      </c>
      <c r="D32" s="399">
        <v>51896</v>
      </c>
      <c r="E32" s="399">
        <v>19423</v>
      </c>
      <c r="F32" s="399">
        <v>3353</v>
      </c>
      <c r="G32" s="399">
        <v>2734</v>
      </c>
      <c r="H32" s="399">
        <v>242</v>
      </c>
      <c r="I32" s="399">
        <v>1165</v>
      </c>
      <c r="J32" s="399">
        <v>186</v>
      </c>
      <c r="K32" s="399">
        <v>1155</v>
      </c>
      <c r="L32" s="400">
        <v>0</v>
      </c>
      <c r="M32" s="401">
        <v>2812</v>
      </c>
      <c r="N32" s="400">
        <v>1973</v>
      </c>
      <c r="O32" s="402">
        <v>190673</v>
      </c>
      <c r="P32" s="403">
        <v>3098</v>
      </c>
      <c r="Q32" s="399">
        <v>193771</v>
      </c>
    </row>
    <row r="33" spans="1:17">
      <c r="A33" s="404">
        <v>26</v>
      </c>
      <c r="B33" s="405" t="s">
        <v>51</v>
      </c>
      <c r="C33" s="406">
        <v>18638</v>
      </c>
      <c r="D33" s="339">
        <v>21352</v>
      </c>
      <c r="E33" s="406">
        <v>13828</v>
      </c>
      <c r="F33" s="406">
        <v>2203</v>
      </c>
      <c r="G33" s="406">
        <v>3667</v>
      </c>
      <c r="H33" s="406">
        <v>461</v>
      </c>
      <c r="I33" s="406">
        <v>509</v>
      </c>
      <c r="J33" s="406">
        <v>85</v>
      </c>
      <c r="K33" s="406">
        <v>374</v>
      </c>
      <c r="L33" s="408">
        <v>163</v>
      </c>
      <c r="M33" s="406">
        <v>620</v>
      </c>
      <c r="N33" s="408">
        <v>19</v>
      </c>
      <c r="O33" s="409">
        <v>61919</v>
      </c>
      <c r="P33" s="410">
        <v>1633</v>
      </c>
      <c r="Q33" s="406">
        <v>63552</v>
      </c>
    </row>
    <row r="34" spans="1:17">
      <c r="A34" s="397">
        <v>27</v>
      </c>
      <c r="B34" s="398" t="s">
        <v>52</v>
      </c>
      <c r="C34" s="411">
        <v>4393</v>
      </c>
      <c r="D34" s="399">
        <v>3582</v>
      </c>
      <c r="E34" s="399">
        <v>233</v>
      </c>
      <c r="F34" s="399">
        <v>21</v>
      </c>
      <c r="G34" s="399">
        <v>26</v>
      </c>
      <c r="H34" s="399">
        <v>17</v>
      </c>
      <c r="I34" s="399">
        <v>15</v>
      </c>
      <c r="J34" s="399">
        <v>4</v>
      </c>
      <c r="K34" s="399">
        <v>11</v>
      </c>
      <c r="L34" s="400">
        <v>10</v>
      </c>
      <c r="M34" s="401">
        <v>3</v>
      </c>
      <c r="N34" s="400">
        <v>6</v>
      </c>
      <c r="O34" s="402">
        <v>8321</v>
      </c>
      <c r="P34" s="403">
        <v>373</v>
      </c>
      <c r="Q34" s="399">
        <v>8694</v>
      </c>
    </row>
    <row r="35" spans="1:17">
      <c r="A35" s="404">
        <v>28</v>
      </c>
      <c r="B35" s="405" t="s">
        <v>53</v>
      </c>
      <c r="C35" s="406">
        <v>690</v>
      </c>
      <c r="D35" s="339">
        <v>1038</v>
      </c>
      <c r="E35" s="406">
        <v>137</v>
      </c>
      <c r="F35" s="406">
        <v>185</v>
      </c>
      <c r="G35" s="406">
        <v>6</v>
      </c>
      <c r="H35" s="406">
        <v>6</v>
      </c>
      <c r="I35" s="406">
        <v>13</v>
      </c>
      <c r="J35" s="406">
        <v>0</v>
      </c>
      <c r="K35" s="406">
        <v>1</v>
      </c>
      <c r="L35" s="408">
        <v>256</v>
      </c>
      <c r="M35" s="406">
        <v>3</v>
      </c>
      <c r="N35" s="408">
        <v>0</v>
      </c>
      <c r="O35" s="409">
        <v>2335</v>
      </c>
      <c r="P35" s="410">
        <v>41</v>
      </c>
      <c r="Q35" s="406">
        <v>2376</v>
      </c>
    </row>
    <row r="36" spans="1:17">
      <c r="A36" s="397">
        <v>29</v>
      </c>
      <c r="B36" s="398" t="s">
        <v>54</v>
      </c>
      <c r="C36" s="399">
        <v>622</v>
      </c>
      <c r="D36" s="399">
        <v>3238</v>
      </c>
      <c r="E36" s="399">
        <v>924</v>
      </c>
      <c r="F36" s="399">
        <v>26</v>
      </c>
      <c r="G36" s="399">
        <v>29</v>
      </c>
      <c r="H36" s="399">
        <v>24</v>
      </c>
      <c r="I36" s="412">
        <v>3272</v>
      </c>
      <c r="J36" s="399">
        <v>6</v>
      </c>
      <c r="K36" s="399">
        <v>4</v>
      </c>
      <c r="L36" s="400">
        <v>8</v>
      </c>
      <c r="M36" s="401">
        <v>1</v>
      </c>
      <c r="N36" s="400">
        <v>10</v>
      </c>
      <c r="O36" s="402">
        <v>8164</v>
      </c>
      <c r="P36" s="403">
        <v>167</v>
      </c>
      <c r="Q36" s="399">
        <v>8331</v>
      </c>
    </row>
    <row r="37" spans="1:17">
      <c r="A37" s="404">
        <v>30</v>
      </c>
      <c r="B37" s="405" t="s">
        <v>55</v>
      </c>
      <c r="C37" s="406">
        <v>6197</v>
      </c>
      <c r="D37" s="406">
        <v>11205</v>
      </c>
      <c r="E37" s="407">
        <v>12930</v>
      </c>
      <c r="F37" s="406">
        <v>479</v>
      </c>
      <c r="G37" s="406">
        <v>537</v>
      </c>
      <c r="H37" s="406">
        <v>174</v>
      </c>
      <c r="I37" s="406">
        <v>270</v>
      </c>
      <c r="J37" s="406">
        <v>13</v>
      </c>
      <c r="K37" s="406">
        <v>223</v>
      </c>
      <c r="L37" s="408">
        <v>44</v>
      </c>
      <c r="M37" s="406">
        <v>376</v>
      </c>
      <c r="N37" s="408">
        <v>15</v>
      </c>
      <c r="O37" s="409">
        <v>32463</v>
      </c>
      <c r="P37" s="410">
        <v>841</v>
      </c>
      <c r="Q37" s="406">
        <v>33304</v>
      </c>
    </row>
    <row r="38" spans="1:17">
      <c r="A38" s="397">
        <v>31</v>
      </c>
      <c r="B38" s="398" t="s">
        <v>56</v>
      </c>
      <c r="C38" s="399">
        <v>1565</v>
      </c>
      <c r="D38" s="339">
        <v>2335</v>
      </c>
      <c r="E38" s="399">
        <v>964</v>
      </c>
      <c r="F38" s="399">
        <v>2151</v>
      </c>
      <c r="G38" s="399">
        <v>114</v>
      </c>
      <c r="H38" s="399">
        <v>0</v>
      </c>
      <c r="I38" s="399">
        <v>183</v>
      </c>
      <c r="J38" s="399">
        <v>6</v>
      </c>
      <c r="K38" s="399">
        <v>589</v>
      </c>
      <c r="L38" s="400">
        <v>3</v>
      </c>
      <c r="M38" s="401">
        <v>8</v>
      </c>
      <c r="N38" s="400">
        <v>4</v>
      </c>
      <c r="O38" s="402">
        <v>7922</v>
      </c>
      <c r="P38" s="403">
        <v>193</v>
      </c>
      <c r="Q38" s="399">
        <v>8115</v>
      </c>
    </row>
    <row r="39" spans="1:17">
      <c r="A39" s="404">
        <v>32</v>
      </c>
      <c r="B39" s="405" t="s">
        <v>659</v>
      </c>
      <c r="C39" s="406">
        <v>32732</v>
      </c>
      <c r="D39" s="339">
        <v>48018</v>
      </c>
      <c r="E39" s="406">
        <v>40046</v>
      </c>
      <c r="F39" s="406">
        <v>1903</v>
      </c>
      <c r="G39" s="406">
        <v>2733</v>
      </c>
      <c r="H39" s="406">
        <v>549</v>
      </c>
      <c r="I39" s="406">
        <v>713</v>
      </c>
      <c r="J39" s="406">
        <v>302</v>
      </c>
      <c r="K39" s="406">
        <v>632</v>
      </c>
      <c r="L39" s="408">
        <v>286</v>
      </c>
      <c r="M39" s="406">
        <v>1389</v>
      </c>
      <c r="N39" s="408">
        <v>1664</v>
      </c>
      <c r="O39" s="409">
        <v>130967</v>
      </c>
      <c r="P39" s="410">
        <v>4311</v>
      </c>
      <c r="Q39" s="406">
        <v>135278</v>
      </c>
    </row>
    <row r="40" spans="1:17">
      <c r="A40" s="397">
        <v>33</v>
      </c>
      <c r="B40" s="398" t="s">
        <v>57</v>
      </c>
      <c r="C40" s="399">
        <v>458</v>
      </c>
      <c r="D40" s="339">
        <v>4784</v>
      </c>
      <c r="E40" s="399">
        <v>3277</v>
      </c>
      <c r="F40" s="399">
        <v>78</v>
      </c>
      <c r="G40" s="399">
        <v>26</v>
      </c>
      <c r="H40" s="399">
        <v>69</v>
      </c>
      <c r="I40" s="399">
        <v>71</v>
      </c>
      <c r="J40" s="399">
        <v>21</v>
      </c>
      <c r="K40" s="399">
        <v>23</v>
      </c>
      <c r="L40" s="400">
        <v>28</v>
      </c>
      <c r="M40" s="401">
        <v>9</v>
      </c>
      <c r="N40" s="400">
        <v>9</v>
      </c>
      <c r="O40" s="402">
        <v>8853</v>
      </c>
      <c r="P40" s="403">
        <v>452</v>
      </c>
      <c r="Q40" s="399">
        <v>9305</v>
      </c>
    </row>
    <row r="41" spans="1:17">
      <c r="A41" s="404">
        <v>34</v>
      </c>
      <c r="B41" s="405" t="s">
        <v>528</v>
      </c>
      <c r="C41" s="411">
        <v>224986</v>
      </c>
      <c r="D41" s="406">
        <v>171672</v>
      </c>
      <c r="E41" s="406">
        <v>148049</v>
      </c>
      <c r="F41" s="406">
        <v>8612</v>
      </c>
      <c r="G41" s="406">
        <v>13267</v>
      </c>
      <c r="H41" s="406">
        <v>1528</v>
      </c>
      <c r="I41" s="406">
        <v>5146</v>
      </c>
      <c r="J41" s="406">
        <v>878</v>
      </c>
      <c r="K41" s="406">
        <v>2957</v>
      </c>
      <c r="L41" s="408">
        <v>1134</v>
      </c>
      <c r="M41" s="406">
        <v>12790</v>
      </c>
      <c r="N41" s="408">
        <v>146</v>
      </c>
      <c r="O41" s="409">
        <v>591165</v>
      </c>
      <c r="P41" s="410">
        <v>11629</v>
      </c>
      <c r="Q41" s="406">
        <v>602794</v>
      </c>
    </row>
    <row r="42" spans="1:17">
      <c r="A42" s="397">
        <v>35</v>
      </c>
      <c r="B42" s="398" t="s">
        <v>58</v>
      </c>
      <c r="C42" s="399">
        <v>107</v>
      </c>
      <c r="D42" s="339">
        <v>1611</v>
      </c>
      <c r="E42" s="399">
        <v>888</v>
      </c>
      <c r="F42" s="399">
        <v>23</v>
      </c>
      <c r="G42" s="399">
        <v>9</v>
      </c>
      <c r="H42" s="399">
        <v>0</v>
      </c>
      <c r="I42" s="399">
        <v>2</v>
      </c>
      <c r="J42" s="399">
        <v>2</v>
      </c>
      <c r="K42" s="399">
        <v>17</v>
      </c>
      <c r="L42" s="400">
        <v>3</v>
      </c>
      <c r="M42" s="401">
        <v>0</v>
      </c>
      <c r="N42" s="400">
        <v>1</v>
      </c>
      <c r="O42" s="402">
        <v>2663</v>
      </c>
      <c r="P42" s="403">
        <v>80</v>
      </c>
      <c r="Q42" s="399">
        <v>2743</v>
      </c>
    </row>
    <row r="43" spans="1:17">
      <c r="A43" s="404">
        <v>36</v>
      </c>
      <c r="B43" s="405" t="s">
        <v>59</v>
      </c>
      <c r="C43" s="406">
        <v>7053</v>
      </c>
      <c r="D43" s="339">
        <v>7152</v>
      </c>
      <c r="E43" s="406">
        <v>1426</v>
      </c>
      <c r="F43" s="406">
        <v>349</v>
      </c>
      <c r="G43" s="406">
        <v>804</v>
      </c>
      <c r="H43" s="406">
        <v>3</v>
      </c>
      <c r="I43" s="406">
        <v>5</v>
      </c>
      <c r="J43" s="406">
        <v>2</v>
      </c>
      <c r="K43" s="406">
        <v>10</v>
      </c>
      <c r="L43" s="408">
        <v>3</v>
      </c>
      <c r="M43" s="406">
        <v>70</v>
      </c>
      <c r="N43" s="408">
        <v>11</v>
      </c>
      <c r="O43" s="409">
        <v>16888</v>
      </c>
      <c r="P43" s="410">
        <v>279</v>
      </c>
      <c r="Q43" s="406">
        <v>17167</v>
      </c>
    </row>
    <row r="44" spans="1:17">
      <c r="A44" s="397">
        <v>37</v>
      </c>
      <c r="B44" s="398" t="s">
        <v>60</v>
      </c>
      <c r="C44" s="399">
        <v>1112</v>
      </c>
      <c r="D44" s="399">
        <v>5157</v>
      </c>
      <c r="E44" s="407">
        <v>6037</v>
      </c>
      <c r="F44" s="399">
        <v>76</v>
      </c>
      <c r="G44" s="399">
        <v>60</v>
      </c>
      <c r="H44" s="399">
        <v>0</v>
      </c>
      <c r="I44" s="399">
        <v>0</v>
      </c>
      <c r="J44" s="399">
        <v>0</v>
      </c>
      <c r="K44" s="399">
        <v>0</v>
      </c>
      <c r="L44" s="400">
        <v>39</v>
      </c>
      <c r="M44" s="401">
        <v>0</v>
      </c>
      <c r="N44" s="400">
        <v>63</v>
      </c>
      <c r="O44" s="402">
        <v>12544</v>
      </c>
      <c r="P44" s="403">
        <v>310</v>
      </c>
      <c r="Q44" s="399">
        <v>12854</v>
      </c>
    </row>
    <row r="45" spans="1:17">
      <c r="A45" s="404">
        <v>38</v>
      </c>
      <c r="B45" s="405" t="s">
        <v>522</v>
      </c>
      <c r="C45" s="411">
        <v>35184</v>
      </c>
      <c r="D45" s="406">
        <v>24806</v>
      </c>
      <c r="E45" s="406">
        <v>9749</v>
      </c>
      <c r="F45" s="406">
        <v>621</v>
      </c>
      <c r="G45" s="406">
        <v>1548</v>
      </c>
      <c r="H45" s="406">
        <v>103</v>
      </c>
      <c r="I45" s="406">
        <v>929</v>
      </c>
      <c r="J45" s="406">
        <v>81</v>
      </c>
      <c r="K45" s="406">
        <v>208</v>
      </c>
      <c r="L45" s="408">
        <v>295</v>
      </c>
      <c r="M45" s="406">
        <v>1302</v>
      </c>
      <c r="N45" s="408">
        <v>225</v>
      </c>
      <c r="O45" s="409">
        <v>75051</v>
      </c>
      <c r="P45" s="410">
        <v>1497</v>
      </c>
      <c r="Q45" s="406">
        <v>76548</v>
      </c>
    </row>
    <row r="46" spans="1:17">
      <c r="A46" s="397">
        <v>39</v>
      </c>
      <c r="B46" s="398" t="s">
        <v>61</v>
      </c>
      <c r="C46" s="399">
        <v>212</v>
      </c>
      <c r="D46" s="399">
        <v>1177</v>
      </c>
      <c r="E46" s="407">
        <v>1257</v>
      </c>
      <c r="F46" s="399">
        <v>7</v>
      </c>
      <c r="G46" s="399">
        <v>88</v>
      </c>
      <c r="H46" s="399">
        <v>0</v>
      </c>
      <c r="I46" s="399">
        <v>300</v>
      </c>
      <c r="J46" s="399">
        <v>0</v>
      </c>
      <c r="K46" s="399">
        <v>2</v>
      </c>
      <c r="L46" s="400">
        <v>2</v>
      </c>
      <c r="M46" s="401">
        <v>0</v>
      </c>
      <c r="N46" s="400">
        <v>2</v>
      </c>
      <c r="O46" s="402">
        <v>3047</v>
      </c>
      <c r="P46" s="403">
        <v>85</v>
      </c>
      <c r="Q46" s="399">
        <v>3132</v>
      </c>
    </row>
    <row r="47" spans="1:17">
      <c r="A47" s="404">
        <v>40</v>
      </c>
      <c r="B47" s="405" t="s">
        <v>62</v>
      </c>
      <c r="C47" s="406">
        <v>23399</v>
      </c>
      <c r="D47" s="339">
        <v>33888</v>
      </c>
      <c r="E47" s="406">
        <v>15478</v>
      </c>
      <c r="F47" s="406">
        <v>1226</v>
      </c>
      <c r="G47" s="406">
        <v>1283</v>
      </c>
      <c r="H47" s="406">
        <v>802</v>
      </c>
      <c r="I47" s="406">
        <v>321</v>
      </c>
      <c r="J47" s="406">
        <v>80</v>
      </c>
      <c r="K47" s="406">
        <v>470</v>
      </c>
      <c r="L47" s="408">
        <v>153</v>
      </c>
      <c r="M47" s="406">
        <v>905</v>
      </c>
      <c r="N47" s="408">
        <v>21</v>
      </c>
      <c r="O47" s="409">
        <v>78026</v>
      </c>
      <c r="P47" s="410">
        <v>1782</v>
      </c>
      <c r="Q47" s="406">
        <v>79808</v>
      </c>
    </row>
    <row r="48" spans="1:17">
      <c r="A48" s="397">
        <v>41</v>
      </c>
      <c r="B48" s="398" t="s">
        <v>63</v>
      </c>
      <c r="C48" s="399">
        <v>2763</v>
      </c>
      <c r="D48" s="339">
        <v>4952</v>
      </c>
      <c r="E48" s="399">
        <v>1253</v>
      </c>
      <c r="F48" s="399">
        <v>169</v>
      </c>
      <c r="G48" s="399">
        <v>32</v>
      </c>
      <c r="H48" s="399">
        <v>4</v>
      </c>
      <c r="I48" s="399">
        <v>17</v>
      </c>
      <c r="J48" s="399">
        <v>14</v>
      </c>
      <c r="K48" s="399">
        <v>16</v>
      </c>
      <c r="L48" s="400">
        <v>9</v>
      </c>
      <c r="M48" s="401">
        <v>9</v>
      </c>
      <c r="N48" s="400">
        <v>2</v>
      </c>
      <c r="O48" s="402">
        <v>9240</v>
      </c>
      <c r="P48" s="403">
        <v>315</v>
      </c>
      <c r="Q48" s="399">
        <v>9555</v>
      </c>
    </row>
    <row r="49" spans="1:17">
      <c r="A49" s="404">
        <v>42</v>
      </c>
      <c r="B49" s="405" t="s">
        <v>64</v>
      </c>
      <c r="C49" s="406">
        <v>50</v>
      </c>
      <c r="D49" s="406">
        <v>1014</v>
      </c>
      <c r="E49" s="407">
        <v>1375</v>
      </c>
      <c r="F49" s="406">
        <v>6</v>
      </c>
      <c r="G49" s="406">
        <v>2</v>
      </c>
      <c r="H49" s="406">
        <v>0</v>
      </c>
      <c r="I49" s="406">
        <v>1</v>
      </c>
      <c r="J49" s="406">
        <v>0</v>
      </c>
      <c r="K49" s="406">
        <v>1</v>
      </c>
      <c r="L49" s="408">
        <v>3</v>
      </c>
      <c r="M49" s="406">
        <v>0</v>
      </c>
      <c r="N49" s="408">
        <v>4</v>
      </c>
      <c r="O49" s="409">
        <v>2456</v>
      </c>
      <c r="P49" s="410">
        <v>105</v>
      </c>
      <c r="Q49" s="406">
        <v>2561</v>
      </c>
    </row>
    <row r="50" spans="1:17">
      <c r="A50" s="397">
        <v>43</v>
      </c>
      <c r="B50" s="398" t="s">
        <v>65</v>
      </c>
      <c r="C50" s="399">
        <v>13070</v>
      </c>
      <c r="D50" s="339">
        <v>20553</v>
      </c>
      <c r="E50" s="399">
        <v>2885</v>
      </c>
      <c r="F50" s="399">
        <v>338</v>
      </c>
      <c r="G50" s="399">
        <v>411</v>
      </c>
      <c r="H50" s="399">
        <v>38</v>
      </c>
      <c r="I50" s="399">
        <v>113</v>
      </c>
      <c r="J50" s="399">
        <v>79</v>
      </c>
      <c r="K50" s="399">
        <v>87</v>
      </c>
      <c r="L50" s="400">
        <v>115</v>
      </c>
      <c r="M50" s="401">
        <v>12</v>
      </c>
      <c r="N50" s="400">
        <v>1005</v>
      </c>
      <c r="O50" s="402">
        <v>38706</v>
      </c>
      <c r="P50" s="403">
        <v>1903</v>
      </c>
      <c r="Q50" s="399">
        <v>40609</v>
      </c>
    </row>
    <row r="51" spans="1:17">
      <c r="A51" s="404">
        <v>44</v>
      </c>
      <c r="B51" s="405" t="s">
        <v>660</v>
      </c>
      <c r="C51" s="406">
        <v>1832</v>
      </c>
      <c r="D51" s="339">
        <v>3073</v>
      </c>
      <c r="E51" s="406">
        <v>363</v>
      </c>
      <c r="F51" s="406">
        <v>64</v>
      </c>
      <c r="G51" s="406">
        <v>91</v>
      </c>
      <c r="H51" s="406">
        <v>0</v>
      </c>
      <c r="I51" s="406">
        <v>8</v>
      </c>
      <c r="J51" s="406">
        <v>3</v>
      </c>
      <c r="K51" s="406">
        <v>5</v>
      </c>
      <c r="L51" s="408">
        <v>10</v>
      </c>
      <c r="M51" s="406">
        <v>2</v>
      </c>
      <c r="N51" s="408">
        <v>0</v>
      </c>
      <c r="O51" s="409">
        <v>5451</v>
      </c>
      <c r="P51" s="410">
        <v>109</v>
      </c>
      <c r="Q51" s="406">
        <v>5560</v>
      </c>
    </row>
    <row r="52" spans="1:17">
      <c r="A52" s="397">
        <v>45</v>
      </c>
      <c r="B52" s="398" t="s">
        <v>67</v>
      </c>
      <c r="C52" s="399">
        <v>3269</v>
      </c>
      <c r="D52" s="339">
        <v>4135</v>
      </c>
      <c r="E52" s="399">
        <v>2960</v>
      </c>
      <c r="F52" s="399">
        <v>356</v>
      </c>
      <c r="G52" s="399">
        <v>214</v>
      </c>
      <c r="H52" s="399">
        <v>2</v>
      </c>
      <c r="I52" s="399">
        <v>13</v>
      </c>
      <c r="J52" s="399">
        <v>4</v>
      </c>
      <c r="K52" s="399">
        <v>8</v>
      </c>
      <c r="L52" s="400">
        <v>1</v>
      </c>
      <c r="M52" s="401">
        <v>21</v>
      </c>
      <c r="N52" s="400">
        <v>3</v>
      </c>
      <c r="O52" s="402">
        <v>10986</v>
      </c>
      <c r="P52" s="403">
        <v>321</v>
      </c>
      <c r="Q52" s="399">
        <v>11307</v>
      </c>
    </row>
    <row r="53" spans="1:17">
      <c r="A53" s="404">
        <v>46</v>
      </c>
      <c r="B53" s="405" t="s">
        <v>68</v>
      </c>
      <c r="C53" s="406">
        <v>10051</v>
      </c>
      <c r="D53" s="339">
        <v>13042</v>
      </c>
      <c r="E53" s="406">
        <v>978</v>
      </c>
      <c r="F53" s="406">
        <v>264</v>
      </c>
      <c r="G53" s="406">
        <v>125</v>
      </c>
      <c r="H53" s="406">
        <v>0</v>
      </c>
      <c r="I53" s="406">
        <v>54</v>
      </c>
      <c r="J53" s="406">
        <v>0</v>
      </c>
      <c r="K53" s="406">
        <v>0</v>
      </c>
      <c r="L53" s="408">
        <v>0</v>
      </c>
      <c r="M53" s="406">
        <v>26</v>
      </c>
      <c r="N53" s="408">
        <v>144</v>
      </c>
      <c r="O53" s="409">
        <v>24684</v>
      </c>
      <c r="P53" s="410">
        <v>530</v>
      </c>
      <c r="Q53" s="406">
        <v>25214</v>
      </c>
    </row>
    <row r="54" spans="1:17">
      <c r="A54" s="397">
        <v>47</v>
      </c>
      <c r="B54" s="398" t="s">
        <v>69</v>
      </c>
      <c r="C54" s="399">
        <v>2162</v>
      </c>
      <c r="D54" s="339">
        <v>2610</v>
      </c>
      <c r="E54" s="399">
        <v>454</v>
      </c>
      <c r="F54" s="399">
        <v>17</v>
      </c>
      <c r="G54" s="399">
        <v>783</v>
      </c>
      <c r="H54" s="399">
        <v>13</v>
      </c>
      <c r="I54" s="399">
        <v>10</v>
      </c>
      <c r="J54" s="399">
        <v>3</v>
      </c>
      <c r="K54" s="399">
        <v>8</v>
      </c>
      <c r="L54" s="400">
        <v>3</v>
      </c>
      <c r="M54" s="401">
        <v>0</v>
      </c>
      <c r="N54" s="400">
        <v>0</v>
      </c>
      <c r="O54" s="402">
        <v>6063</v>
      </c>
      <c r="P54" s="403">
        <v>158</v>
      </c>
      <c r="Q54" s="399">
        <v>6221</v>
      </c>
    </row>
    <row r="55" spans="1:17">
      <c r="A55" s="404">
        <v>48</v>
      </c>
      <c r="B55" s="405" t="s">
        <v>70</v>
      </c>
      <c r="C55" s="406">
        <v>1076</v>
      </c>
      <c r="D55" s="339">
        <v>7916</v>
      </c>
      <c r="E55" s="406">
        <v>5434</v>
      </c>
      <c r="F55" s="406">
        <v>3491</v>
      </c>
      <c r="G55" s="406">
        <v>373</v>
      </c>
      <c r="H55" s="406">
        <v>0</v>
      </c>
      <c r="I55" s="406">
        <v>0</v>
      </c>
      <c r="J55" s="406">
        <v>0</v>
      </c>
      <c r="K55" s="406">
        <v>0</v>
      </c>
      <c r="L55" s="408">
        <v>0</v>
      </c>
      <c r="M55" s="406">
        <v>18</v>
      </c>
      <c r="N55" s="408">
        <v>108</v>
      </c>
      <c r="O55" s="409">
        <v>18416</v>
      </c>
      <c r="P55" s="410">
        <v>1170</v>
      </c>
      <c r="Q55" s="406">
        <v>19586</v>
      </c>
    </row>
    <row r="56" spans="1:17">
      <c r="A56" s="397">
        <v>49</v>
      </c>
      <c r="B56" s="398" t="s">
        <v>71</v>
      </c>
      <c r="C56" s="399">
        <v>8014</v>
      </c>
      <c r="D56" s="339">
        <v>8928</v>
      </c>
      <c r="E56" s="399">
        <v>1884</v>
      </c>
      <c r="F56" s="399">
        <v>118</v>
      </c>
      <c r="G56" s="399">
        <v>164</v>
      </c>
      <c r="H56" s="399">
        <v>9</v>
      </c>
      <c r="I56" s="399">
        <v>45</v>
      </c>
      <c r="J56" s="399">
        <v>31</v>
      </c>
      <c r="K56" s="399">
        <v>34</v>
      </c>
      <c r="L56" s="400">
        <v>13</v>
      </c>
      <c r="M56" s="401">
        <v>4</v>
      </c>
      <c r="N56" s="400">
        <v>6</v>
      </c>
      <c r="O56" s="402">
        <v>19250</v>
      </c>
      <c r="P56" s="403">
        <v>598</v>
      </c>
      <c r="Q56" s="399">
        <v>19848</v>
      </c>
    </row>
    <row r="57" spans="1:17">
      <c r="A57" s="404">
        <v>50</v>
      </c>
      <c r="B57" s="405" t="s">
        <v>72</v>
      </c>
      <c r="C57" s="406">
        <v>346</v>
      </c>
      <c r="D57" s="339">
        <v>1508</v>
      </c>
      <c r="E57" s="406">
        <v>802</v>
      </c>
      <c r="F57" s="406">
        <v>1269</v>
      </c>
      <c r="G57" s="406">
        <v>12</v>
      </c>
      <c r="H57" s="406">
        <v>2</v>
      </c>
      <c r="I57" s="406">
        <v>2</v>
      </c>
      <c r="J57" s="406">
        <v>3</v>
      </c>
      <c r="K57" s="406">
        <v>2</v>
      </c>
      <c r="L57" s="408">
        <v>0</v>
      </c>
      <c r="M57" s="406">
        <v>0</v>
      </c>
      <c r="N57" s="408">
        <v>0</v>
      </c>
      <c r="O57" s="409">
        <v>3946</v>
      </c>
      <c r="P57" s="410">
        <v>100</v>
      </c>
      <c r="Q57" s="406">
        <v>4046</v>
      </c>
    </row>
    <row r="58" spans="1:17">
      <c r="A58" s="397">
        <v>51</v>
      </c>
      <c r="B58" s="398" t="s">
        <v>73</v>
      </c>
      <c r="C58" s="399">
        <v>1012</v>
      </c>
      <c r="D58" s="339">
        <v>3465</v>
      </c>
      <c r="E58" s="399">
        <v>569</v>
      </c>
      <c r="F58" s="399">
        <v>153</v>
      </c>
      <c r="G58" s="399">
        <v>402</v>
      </c>
      <c r="H58" s="399">
        <v>1292</v>
      </c>
      <c r="I58" s="399">
        <v>107</v>
      </c>
      <c r="J58" s="399">
        <v>13</v>
      </c>
      <c r="K58" s="399">
        <v>382</v>
      </c>
      <c r="L58" s="400">
        <v>18</v>
      </c>
      <c r="M58" s="401">
        <v>23</v>
      </c>
      <c r="N58" s="400">
        <v>2</v>
      </c>
      <c r="O58" s="402">
        <v>7438</v>
      </c>
      <c r="P58" s="403">
        <v>225</v>
      </c>
      <c r="Q58" s="399">
        <v>7663</v>
      </c>
    </row>
    <row r="59" spans="1:17">
      <c r="A59" s="404">
        <v>52</v>
      </c>
      <c r="B59" s="405" t="s">
        <v>74</v>
      </c>
      <c r="C59" s="411">
        <v>12983</v>
      </c>
      <c r="D59" s="406">
        <v>11964</v>
      </c>
      <c r="E59" s="406">
        <v>1860</v>
      </c>
      <c r="F59" s="406">
        <v>473</v>
      </c>
      <c r="G59" s="406">
        <v>4244</v>
      </c>
      <c r="H59" s="406">
        <v>0</v>
      </c>
      <c r="I59" s="406">
        <v>121</v>
      </c>
      <c r="J59" s="406">
        <v>45</v>
      </c>
      <c r="K59" s="406">
        <v>2749</v>
      </c>
      <c r="L59" s="408">
        <v>2603</v>
      </c>
      <c r="M59" s="406">
        <v>0</v>
      </c>
      <c r="N59" s="408">
        <v>12</v>
      </c>
      <c r="O59" s="409">
        <v>37054</v>
      </c>
      <c r="P59" s="410">
        <v>849</v>
      </c>
      <c r="Q59" s="406">
        <v>37903</v>
      </c>
    </row>
    <row r="60" spans="1:17">
      <c r="A60" s="397">
        <v>53</v>
      </c>
      <c r="B60" s="398" t="s">
        <v>75</v>
      </c>
      <c r="C60" s="399">
        <v>3087</v>
      </c>
      <c r="D60" s="339">
        <v>3159</v>
      </c>
      <c r="E60" s="399">
        <v>967</v>
      </c>
      <c r="F60" s="399">
        <v>105</v>
      </c>
      <c r="G60" s="399">
        <v>25</v>
      </c>
      <c r="H60" s="399">
        <v>7</v>
      </c>
      <c r="I60" s="399">
        <v>59</v>
      </c>
      <c r="J60" s="399">
        <v>12</v>
      </c>
      <c r="K60" s="399">
        <v>29</v>
      </c>
      <c r="L60" s="400">
        <v>13</v>
      </c>
      <c r="M60" s="401">
        <v>0</v>
      </c>
      <c r="N60" s="400">
        <v>8</v>
      </c>
      <c r="O60" s="402">
        <v>7471</v>
      </c>
      <c r="P60" s="403">
        <v>239</v>
      </c>
      <c r="Q60" s="399">
        <v>7710</v>
      </c>
    </row>
    <row r="61" spans="1:17">
      <c r="A61" s="404">
        <v>54</v>
      </c>
      <c r="B61" s="405" t="s">
        <v>76</v>
      </c>
      <c r="C61" s="411">
        <v>5300</v>
      </c>
      <c r="D61" s="406">
        <v>5069</v>
      </c>
      <c r="E61" s="406">
        <v>1933</v>
      </c>
      <c r="F61" s="406">
        <v>105</v>
      </c>
      <c r="G61" s="406">
        <v>73</v>
      </c>
      <c r="H61" s="406">
        <v>26</v>
      </c>
      <c r="I61" s="406">
        <v>1860</v>
      </c>
      <c r="J61" s="406">
        <v>0</v>
      </c>
      <c r="K61" s="406">
        <v>0</v>
      </c>
      <c r="L61" s="408">
        <v>0</v>
      </c>
      <c r="M61" s="406">
        <v>49</v>
      </c>
      <c r="N61" s="408">
        <v>2</v>
      </c>
      <c r="O61" s="409">
        <v>14417</v>
      </c>
      <c r="P61" s="410">
        <v>243</v>
      </c>
      <c r="Q61" s="406">
        <v>14660</v>
      </c>
    </row>
    <row r="62" spans="1:17">
      <c r="A62" s="397">
        <v>55</v>
      </c>
      <c r="B62" s="398" t="s">
        <v>545</v>
      </c>
      <c r="C62" s="411">
        <v>36121</v>
      </c>
      <c r="D62" s="399">
        <v>29882</v>
      </c>
      <c r="E62" s="399">
        <v>6432</v>
      </c>
      <c r="F62" s="399">
        <v>3896</v>
      </c>
      <c r="G62" s="399">
        <v>948</v>
      </c>
      <c r="H62" s="399">
        <v>171</v>
      </c>
      <c r="I62" s="399">
        <v>468</v>
      </c>
      <c r="J62" s="399">
        <v>55</v>
      </c>
      <c r="K62" s="399">
        <v>149</v>
      </c>
      <c r="L62" s="400">
        <v>492</v>
      </c>
      <c r="M62" s="401">
        <v>833</v>
      </c>
      <c r="N62" s="400">
        <v>7</v>
      </c>
      <c r="O62" s="402">
        <v>79454</v>
      </c>
      <c r="P62" s="403">
        <v>1214</v>
      </c>
      <c r="Q62" s="399">
        <v>80668</v>
      </c>
    </row>
    <row r="63" spans="1:17">
      <c r="A63" s="404">
        <v>56</v>
      </c>
      <c r="B63" s="405" t="s">
        <v>661</v>
      </c>
      <c r="C63" s="406">
        <v>194</v>
      </c>
      <c r="D63" s="406">
        <v>957</v>
      </c>
      <c r="E63" s="406">
        <v>574</v>
      </c>
      <c r="F63" s="413">
        <v>1030</v>
      </c>
      <c r="G63" s="406">
        <v>10</v>
      </c>
      <c r="H63" s="406">
        <v>0</v>
      </c>
      <c r="I63" s="406">
        <v>716</v>
      </c>
      <c r="J63" s="406">
        <v>1</v>
      </c>
      <c r="K63" s="406">
        <v>5</v>
      </c>
      <c r="L63" s="408">
        <v>1</v>
      </c>
      <c r="M63" s="406">
        <v>0</v>
      </c>
      <c r="N63" s="408">
        <v>1</v>
      </c>
      <c r="O63" s="409">
        <v>3489</v>
      </c>
      <c r="P63" s="410">
        <v>75</v>
      </c>
      <c r="Q63" s="406">
        <v>3564</v>
      </c>
    </row>
    <row r="64" spans="1:17">
      <c r="A64" s="397">
        <v>57</v>
      </c>
      <c r="B64" s="398" t="s">
        <v>78</v>
      </c>
      <c r="C64" s="399">
        <v>2755</v>
      </c>
      <c r="D64" s="339">
        <v>5156</v>
      </c>
      <c r="E64" s="399">
        <v>645</v>
      </c>
      <c r="F64" s="399">
        <v>68</v>
      </c>
      <c r="G64" s="399">
        <v>37</v>
      </c>
      <c r="H64" s="399">
        <v>9</v>
      </c>
      <c r="I64" s="399">
        <v>48</v>
      </c>
      <c r="J64" s="399">
        <v>15</v>
      </c>
      <c r="K64" s="399">
        <v>13</v>
      </c>
      <c r="L64" s="400">
        <v>25</v>
      </c>
      <c r="M64" s="401">
        <v>1</v>
      </c>
      <c r="N64" s="400">
        <v>11</v>
      </c>
      <c r="O64" s="402">
        <v>8783</v>
      </c>
      <c r="P64" s="403">
        <v>462</v>
      </c>
      <c r="Q64" s="399">
        <v>9245</v>
      </c>
    </row>
    <row r="65" spans="1:17">
      <c r="A65" s="404">
        <v>58</v>
      </c>
      <c r="B65" s="405" t="s">
        <v>537</v>
      </c>
      <c r="C65" s="411">
        <v>195800</v>
      </c>
      <c r="D65" s="406">
        <v>117741</v>
      </c>
      <c r="E65" s="406">
        <v>40805</v>
      </c>
      <c r="F65" s="406">
        <v>3765</v>
      </c>
      <c r="G65" s="406">
        <v>6393</v>
      </c>
      <c r="H65" s="406">
        <v>588</v>
      </c>
      <c r="I65" s="406">
        <v>1931</v>
      </c>
      <c r="J65" s="406">
        <v>414</v>
      </c>
      <c r="K65" s="406">
        <v>1344</v>
      </c>
      <c r="L65" s="408">
        <v>969</v>
      </c>
      <c r="M65" s="406">
        <v>5841</v>
      </c>
      <c r="N65" s="408">
        <v>9272</v>
      </c>
      <c r="O65" s="409">
        <v>384863</v>
      </c>
      <c r="P65" s="410">
        <v>6739</v>
      </c>
      <c r="Q65" s="406">
        <v>391602</v>
      </c>
    </row>
    <row r="66" spans="1:17">
      <c r="A66" s="397">
        <v>59</v>
      </c>
      <c r="B66" s="398" t="s">
        <v>79</v>
      </c>
      <c r="C66" s="399">
        <v>2178</v>
      </c>
      <c r="D66" s="339">
        <v>2611</v>
      </c>
      <c r="E66" s="399">
        <v>1212</v>
      </c>
      <c r="F66" s="399">
        <v>28</v>
      </c>
      <c r="G66" s="399">
        <v>30</v>
      </c>
      <c r="H66" s="399">
        <v>16</v>
      </c>
      <c r="I66" s="399">
        <v>38</v>
      </c>
      <c r="J66" s="399">
        <v>0</v>
      </c>
      <c r="K66" s="399">
        <v>2</v>
      </c>
      <c r="L66" s="400">
        <v>2</v>
      </c>
      <c r="M66" s="401">
        <v>3</v>
      </c>
      <c r="N66" s="400">
        <v>2</v>
      </c>
      <c r="O66" s="402">
        <v>6122</v>
      </c>
      <c r="P66" s="403">
        <v>115</v>
      </c>
      <c r="Q66" s="399">
        <v>6237</v>
      </c>
    </row>
    <row r="67" spans="1:17">
      <c r="A67" s="404">
        <v>60</v>
      </c>
      <c r="B67" s="405" t="s">
        <v>80</v>
      </c>
      <c r="C67" s="406">
        <v>141052</v>
      </c>
      <c r="D67" s="406">
        <v>140080</v>
      </c>
      <c r="E67" s="407">
        <v>200854</v>
      </c>
      <c r="F67" s="406">
        <v>7810</v>
      </c>
      <c r="G67" s="406">
        <v>10676</v>
      </c>
      <c r="H67" s="406">
        <v>960</v>
      </c>
      <c r="I67" s="406">
        <v>4257</v>
      </c>
      <c r="J67" s="406">
        <v>837</v>
      </c>
      <c r="K67" s="406">
        <v>2255</v>
      </c>
      <c r="L67" s="408">
        <v>1179</v>
      </c>
      <c r="M67" s="406">
        <v>9861</v>
      </c>
      <c r="N67" s="408">
        <v>124</v>
      </c>
      <c r="O67" s="409">
        <v>519945</v>
      </c>
      <c r="P67" s="410">
        <v>11063</v>
      </c>
      <c r="Q67" s="406">
        <v>531008</v>
      </c>
    </row>
    <row r="68" spans="1:17">
      <c r="A68" s="397">
        <v>61</v>
      </c>
      <c r="B68" s="398" t="s">
        <v>81</v>
      </c>
      <c r="C68" s="411">
        <v>49422</v>
      </c>
      <c r="D68" s="399">
        <v>39313</v>
      </c>
      <c r="E68" s="399">
        <v>6039</v>
      </c>
      <c r="F68" s="399">
        <v>557</v>
      </c>
      <c r="G68" s="399">
        <v>744</v>
      </c>
      <c r="H68" s="399">
        <v>140</v>
      </c>
      <c r="I68" s="399">
        <v>432</v>
      </c>
      <c r="J68" s="399">
        <v>116</v>
      </c>
      <c r="K68" s="399">
        <v>602</v>
      </c>
      <c r="L68" s="400">
        <v>133</v>
      </c>
      <c r="M68" s="401">
        <v>869</v>
      </c>
      <c r="N68" s="400">
        <v>6</v>
      </c>
      <c r="O68" s="402">
        <v>98373</v>
      </c>
      <c r="P68" s="403">
        <v>1765</v>
      </c>
      <c r="Q68" s="399">
        <v>100138</v>
      </c>
    </row>
    <row r="69" spans="1:17">
      <c r="A69" s="404">
        <v>62</v>
      </c>
      <c r="B69" s="405" t="s">
        <v>82</v>
      </c>
      <c r="C69" s="406">
        <v>301</v>
      </c>
      <c r="D69" s="339">
        <v>1325</v>
      </c>
      <c r="E69" s="406">
        <v>278</v>
      </c>
      <c r="F69" s="406">
        <v>1121</v>
      </c>
      <c r="G69" s="406">
        <v>7</v>
      </c>
      <c r="H69" s="406">
        <v>0</v>
      </c>
      <c r="I69" s="406">
        <v>107</v>
      </c>
      <c r="J69" s="406">
        <v>8</v>
      </c>
      <c r="K69" s="406">
        <v>0</v>
      </c>
      <c r="L69" s="408">
        <v>0</v>
      </c>
      <c r="M69" s="406">
        <v>1</v>
      </c>
      <c r="N69" s="408">
        <v>0</v>
      </c>
      <c r="O69" s="409">
        <v>3148</v>
      </c>
      <c r="P69" s="410">
        <v>129</v>
      </c>
      <c r="Q69" s="406">
        <v>3277</v>
      </c>
    </row>
    <row r="70" spans="1:17">
      <c r="A70" s="397">
        <v>63</v>
      </c>
      <c r="B70" s="398" t="s">
        <v>662</v>
      </c>
      <c r="C70" s="411">
        <v>10654</v>
      </c>
      <c r="D70" s="399">
        <v>6429</v>
      </c>
      <c r="E70" s="399">
        <v>1936</v>
      </c>
      <c r="F70" s="399">
        <v>152</v>
      </c>
      <c r="G70" s="399">
        <v>220</v>
      </c>
      <c r="H70" s="399">
        <v>82</v>
      </c>
      <c r="I70" s="399">
        <v>36</v>
      </c>
      <c r="J70" s="399">
        <v>28</v>
      </c>
      <c r="K70" s="399">
        <v>39</v>
      </c>
      <c r="L70" s="400">
        <v>58</v>
      </c>
      <c r="M70" s="401">
        <v>66</v>
      </c>
      <c r="N70" s="400">
        <v>7</v>
      </c>
      <c r="O70" s="402">
        <v>19707</v>
      </c>
      <c r="P70" s="403">
        <v>452</v>
      </c>
      <c r="Q70" s="399">
        <v>20159</v>
      </c>
    </row>
    <row r="71" spans="1:17">
      <c r="A71" s="404">
        <v>64</v>
      </c>
      <c r="B71" s="405" t="s">
        <v>84</v>
      </c>
      <c r="C71" s="406">
        <v>840</v>
      </c>
      <c r="D71" s="339">
        <v>3534</v>
      </c>
      <c r="E71" s="406">
        <v>2583</v>
      </c>
      <c r="F71" s="406">
        <v>29</v>
      </c>
      <c r="G71" s="406">
        <v>16</v>
      </c>
      <c r="H71" s="406">
        <v>3</v>
      </c>
      <c r="I71" s="406">
        <v>2</v>
      </c>
      <c r="J71" s="406">
        <v>1</v>
      </c>
      <c r="K71" s="406">
        <v>5</v>
      </c>
      <c r="L71" s="408">
        <v>12</v>
      </c>
      <c r="M71" s="406">
        <v>0</v>
      </c>
      <c r="N71" s="408">
        <v>8</v>
      </c>
      <c r="O71" s="409">
        <v>7033</v>
      </c>
      <c r="P71" s="410">
        <v>241</v>
      </c>
      <c r="Q71" s="406">
        <v>7274</v>
      </c>
    </row>
    <row r="72" spans="1:17">
      <c r="A72" s="397">
        <v>65</v>
      </c>
      <c r="B72" s="398" t="s">
        <v>516</v>
      </c>
      <c r="C72" s="399">
        <v>2931</v>
      </c>
      <c r="D72" s="339">
        <v>4220</v>
      </c>
      <c r="E72" s="399">
        <v>398</v>
      </c>
      <c r="F72" s="399">
        <v>76</v>
      </c>
      <c r="G72" s="399">
        <v>2568</v>
      </c>
      <c r="H72" s="399">
        <v>0</v>
      </c>
      <c r="I72" s="399">
        <v>15</v>
      </c>
      <c r="J72" s="399">
        <v>0</v>
      </c>
      <c r="K72" s="399">
        <v>0</v>
      </c>
      <c r="L72" s="400">
        <v>58</v>
      </c>
      <c r="M72" s="401">
        <v>23</v>
      </c>
      <c r="N72" s="400">
        <v>74</v>
      </c>
      <c r="O72" s="402">
        <v>10363</v>
      </c>
      <c r="P72" s="403">
        <v>486</v>
      </c>
      <c r="Q72" s="399">
        <v>10849</v>
      </c>
    </row>
    <row r="73" spans="1:17">
      <c r="A73" s="404">
        <v>66</v>
      </c>
      <c r="B73" s="405" t="s">
        <v>85</v>
      </c>
      <c r="C73" s="406">
        <v>1955</v>
      </c>
      <c r="D73" s="406">
        <v>3923</v>
      </c>
      <c r="E73" s="407">
        <v>4381</v>
      </c>
      <c r="F73" s="406">
        <v>66</v>
      </c>
      <c r="G73" s="406">
        <v>40</v>
      </c>
      <c r="H73" s="406">
        <v>2</v>
      </c>
      <c r="I73" s="406">
        <v>92</v>
      </c>
      <c r="J73" s="406">
        <v>12</v>
      </c>
      <c r="K73" s="406">
        <v>14</v>
      </c>
      <c r="L73" s="408">
        <v>5</v>
      </c>
      <c r="M73" s="406">
        <v>3</v>
      </c>
      <c r="N73" s="408">
        <v>4</v>
      </c>
      <c r="O73" s="409">
        <v>10497</v>
      </c>
      <c r="P73" s="410">
        <v>304</v>
      </c>
      <c r="Q73" s="406">
        <v>10801</v>
      </c>
    </row>
    <row r="74" spans="1:17">
      <c r="A74" s="397">
        <v>67</v>
      </c>
      <c r="B74" s="398" t="s">
        <v>86</v>
      </c>
      <c r="C74" s="399">
        <v>49</v>
      </c>
      <c r="D74" s="339">
        <v>1150</v>
      </c>
      <c r="E74" s="399">
        <v>890</v>
      </c>
      <c r="F74" s="399">
        <v>3</v>
      </c>
      <c r="G74" s="399">
        <v>5</v>
      </c>
      <c r="H74" s="399">
        <v>6</v>
      </c>
      <c r="I74" s="399">
        <v>0</v>
      </c>
      <c r="J74" s="399">
        <v>1</v>
      </c>
      <c r="K74" s="399">
        <v>3</v>
      </c>
      <c r="L74" s="400">
        <v>5</v>
      </c>
      <c r="M74" s="401">
        <v>0</v>
      </c>
      <c r="N74" s="400">
        <v>0</v>
      </c>
      <c r="O74" s="402">
        <v>2112</v>
      </c>
      <c r="P74" s="403">
        <v>52</v>
      </c>
      <c r="Q74" s="399">
        <v>2164</v>
      </c>
    </row>
    <row r="75" spans="1:17">
      <c r="A75" s="404">
        <v>68</v>
      </c>
      <c r="B75" s="405" t="s">
        <v>87</v>
      </c>
      <c r="C75" s="406">
        <v>2506</v>
      </c>
      <c r="D75" s="406">
        <v>6201</v>
      </c>
      <c r="E75" s="407">
        <v>7078</v>
      </c>
      <c r="F75" s="406">
        <v>1397</v>
      </c>
      <c r="G75" s="406">
        <v>145</v>
      </c>
      <c r="H75" s="406">
        <v>0</v>
      </c>
      <c r="I75" s="406">
        <v>370</v>
      </c>
      <c r="J75" s="406">
        <v>0</v>
      </c>
      <c r="K75" s="406">
        <v>1227</v>
      </c>
      <c r="L75" s="408">
        <v>0</v>
      </c>
      <c r="M75" s="406">
        <v>0</v>
      </c>
      <c r="N75" s="408">
        <v>32</v>
      </c>
      <c r="O75" s="409">
        <v>18956</v>
      </c>
      <c r="P75" s="410">
        <v>581</v>
      </c>
      <c r="Q75" s="406">
        <v>19537</v>
      </c>
    </row>
    <row r="76" spans="1:17">
      <c r="A76" s="397">
        <v>69</v>
      </c>
      <c r="B76" s="398" t="s">
        <v>88</v>
      </c>
      <c r="C76" s="399">
        <v>2020</v>
      </c>
      <c r="D76" s="339">
        <v>2731</v>
      </c>
      <c r="E76" s="399">
        <v>828</v>
      </c>
      <c r="F76" s="399">
        <v>722</v>
      </c>
      <c r="G76" s="399">
        <v>550</v>
      </c>
      <c r="H76" s="399">
        <v>4</v>
      </c>
      <c r="I76" s="399">
        <v>1969</v>
      </c>
      <c r="J76" s="399">
        <v>9</v>
      </c>
      <c r="K76" s="399">
        <v>17</v>
      </c>
      <c r="L76" s="400">
        <v>8</v>
      </c>
      <c r="M76" s="401">
        <v>9</v>
      </c>
      <c r="N76" s="400">
        <v>0</v>
      </c>
      <c r="O76" s="402">
        <v>8867</v>
      </c>
      <c r="P76" s="403">
        <v>177</v>
      </c>
      <c r="Q76" s="399">
        <v>9044</v>
      </c>
    </row>
    <row r="77" spans="1:17">
      <c r="A77" s="404">
        <v>70</v>
      </c>
      <c r="B77" s="405" t="s">
        <v>89</v>
      </c>
      <c r="C77" s="406">
        <v>499</v>
      </c>
      <c r="D77" s="339">
        <v>636</v>
      </c>
      <c r="E77" s="406">
        <v>635</v>
      </c>
      <c r="F77" s="406">
        <v>54</v>
      </c>
      <c r="G77" s="406">
        <v>10</v>
      </c>
      <c r="H77" s="406">
        <v>24</v>
      </c>
      <c r="I77" s="406">
        <v>3</v>
      </c>
      <c r="J77" s="406">
        <v>0</v>
      </c>
      <c r="K77" s="406">
        <v>2</v>
      </c>
      <c r="L77" s="408">
        <v>0</v>
      </c>
      <c r="M77" s="406">
        <v>11</v>
      </c>
      <c r="N77" s="408">
        <v>2</v>
      </c>
      <c r="O77" s="409">
        <v>1876</v>
      </c>
      <c r="P77" s="410">
        <v>26</v>
      </c>
      <c r="Q77" s="406">
        <v>1902</v>
      </c>
    </row>
    <row r="78" spans="1:17">
      <c r="A78" s="397">
        <v>71</v>
      </c>
      <c r="B78" s="398" t="s">
        <v>540</v>
      </c>
      <c r="C78" s="399">
        <v>12618</v>
      </c>
      <c r="D78" s="399">
        <v>23441</v>
      </c>
      <c r="E78" s="407">
        <v>24022</v>
      </c>
      <c r="F78" s="399">
        <v>721</v>
      </c>
      <c r="G78" s="399">
        <v>1458</v>
      </c>
      <c r="H78" s="399">
        <v>292</v>
      </c>
      <c r="I78" s="399">
        <v>547</v>
      </c>
      <c r="J78" s="399">
        <v>184</v>
      </c>
      <c r="K78" s="399">
        <v>404</v>
      </c>
      <c r="L78" s="400">
        <v>490</v>
      </c>
      <c r="M78" s="401">
        <v>695</v>
      </c>
      <c r="N78" s="400">
        <v>10</v>
      </c>
      <c r="O78" s="402">
        <v>64882</v>
      </c>
      <c r="P78" s="403">
        <v>1454</v>
      </c>
      <c r="Q78" s="399">
        <v>66336</v>
      </c>
    </row>
    <row r="79" spans="1:17">
      <c r="A79" s="404">
        <v>72</v>
      </c>
      <c r="B79" s="405" t="s">
        <v>90</v>
      </c>
      <c r="C79" s="406">
        <v>1820</v>
      </c>
      <c r="D79" s="339">
        <v>2523</v>
      </c>
      <c r="E79" s="406">
        <v>915</v>
      </c>
      <c r="F79" s="406">
        <v>23</v>
      </c>
      <c r="G79" s="406">
        <v>31</v>
      </c>
      <c r="H79" s="406">
        <v>3</v>
      </c>
      <c r="I79" s="406">
        <v>17</v>
      </c>
      <c r="J79" s="406">
        <v>5</v>
      </c>
      <c r="K79" s="406">
        <v>2</v>
      </c>
      <c r="L79" s="408">
        <v>4</v>
      </c>
      <c r="M79" s="406">
        <v>2</v>
      </c>
      <c r="N79" s="408">
        <v>12</v>
      </c>
      <c r="O79" s="409">
        <v>5357</v>
      </c>
      <c r="P79" s="410">
        <v>133</v>
      </c>
      <c r="Q79" s="406">
        <v>5490</v>
      </c>
    </row>
    <row r="80" spans="1:17">
      <c r="A80" s="397">
        <v>73</v>
      </c>
      <c r="B80" s="398" t="s">
        <v>91</v>
      </c>
      <c r="C80" s="399">
        <v>1319</v>
      </c>
      <c r="D80" s="339">
        <v>1552</v>
      </c>
      <c r="E80" s="399">
        <v>545</v>
      </c>
      <c r="F80" s="399">
        <v>378</v>
      </c>
      <c r="G80" s="399">
        <v>7</v>
      </c>
      <c r="H80" s="399">
        <v>0</v>
      </c>
      <c r="I80" s="399">
        <v>3</v>
      </c>
      <c r="J80" s="399">
        <v>11</v>
      </c>
      <c r="K80" s="399">
        <v>10</v>
      </c>
      <c r="L80" s="400">
        <v>5</v>
      </c>
      <c r="M80" s="401">
        <v>0</v>
      </c>
      <c r="N80" s="400">
        <v>0</v>
      </c>
      <c r="O80" s="402">
        <v>3830</v>
      </c>
      <c r="P80" s="403">
        <v>70</v>
      </c>
      <c r="Q80" s="399">
        <v>3900</v>
      </c>
    </row>
    <row r="81" spans="1:17">
      <c r="A81" s="404">
        <v>74</v>
      </c>
      <c r="B81" s="405" t="s">
        <v>92</v>
      </c>
      <c r="C81" s="406">
        <v>1156</v>
      </c>
      <c r="D81" s="339">
        <v>1603</v>
      </c>
      <c r="E81" s="406">
        <v>491</v>
      </c>
      <c r="F81" s="406">
        <v>118</v>
      </c>
      <c r="G81" s="406">
        <v>993</v>
      </c>
      <c r="H81" s="406">
        <v>2</v>
      </c>
      <c r="I81" s="406">
        <v>3</v>
      </c>
      <c r="J81" s="406">
        <v>5</v>
      </c>
      <c r="K81" s="406">
        <v>3</v>
      </c>
      <c r="L81" s="408">
        <v>84</v>
      </c>
      <c r="M81" s="406">
        <v>2</v>
      </c>
      <c r="N81" s="408">
        <v>0</v>
      </c>
      <c r="O81" s="409">
        <v>4460</v>
      </c>
      <c r="P81" s="410">
        <v>84</v>
      </c>
      <c r="Q81" s="406">
        <v>4544</v>
      </c>
    </row>
    <row r="82" spans="1:17">
      <c r="A82" s="397">
        <v>75</v>
      </c>
      <c r="B82" s="398" t="s">
        <v>93</v>
      </c>
      <c r="C82" s="399">
        <v>15747</v>
      </c>
      <c r="D82" s="339">
        <v>21495</v>
      </c>
      <c r="E82" s="399">
        <v>2269</v>
      </c>
      <c r="F82" s="399">
        <v>459</v>
      </c>
      <c r="G82" s="399">
        <v>304</v>
      </c>
      <c r="H82" s="399">
        <v>89</v>
      </c>
      <c r="I82" s="399">
        <v>71</v>
      </c>
      <c r="J82" s="399">
        <v>169</v>
      </c>
      <c r="K82" s="399">
        <v>152</v>
      </c>
      <c r="L82" s="400">
        <v>161</v>
      </c>
      <c r="M82" s="401">
        <v>209</v>
      </c>
      <c r="N82" s="400">
        <v>42</v>
      </c>
      <c r="O82" s="402">
        <v>41167</v>
      </c>
      <c r="P82" s="403">
        <v>3374</v>
      </c>
      <c r="Q82" s="399">
        <v>44541</v>
      </c>
    </row>
    <row r="83" spans="1:17">
      <c r="A83" s="404">
        <v>76</v>
      </c>
      <c r="B83" s="405" t="s">
        <v>94</v>
      </c>
      <c r="C83" s="411">
        <v>3597</v>
      </c>
      <c r="D83" s="406">
        <v>2028</v>
      </c>
      <c r="E83" s="406">
        <v>2007</v>
      </c>
      <c r="F83" s="406">
        <v>34</v>
      </c>
      <c r="G83" s="406">
        <v>30</v>
      </c>
      <c r="H83" s="406">
        <v>4</v>
      </c>
      <c r="I83" s="406">
        <v>75</v>
      </c>
      <c r="J83" s="406">
        <v>7</v>
      </c>
      <c r="K83" s="406">
        <v>13</v>
      </c>
      <c r="L83" s="408">
        <v>1</v>
      </c>
      <c r="M83" s="406">
        <v>21</v>
      </c>
      <c r="N83" s="408">
        <v>0</v>
      </c>
      <c r="O83" s="409">
        <v>7817</v>
      </c>
      <c r="P83" s="410">
        <v>111</v>
      </c>
      <c r="Q83" s="406">
        <v>7928</v>
      </c>
    </row>
    <row r="84" spans="1:17">
      <c r="A84" s="397">
        <v>77</v>
      </c>
      <c r="B84" s="398" t="s">
        <v>95</v>
      </c>
      <c r="C84" s="399">
        <v>3593</v>
      </c>
      <c r="D84" s="339">
        <v>5803</v>
      </c>
      <c r="E84" s="399">
        <v>5200</v>
      </c>
      <c r="F84" s="399">
        <v>2714</v>
      </c>
      <c r="G84" s="399">
        <v>310</v>
      </c>
      <c r="H84" s="399">
        <v>159</v>
      </c>
      <c r="I84" s="399">
        <v>108</v>
      </c>
      <c r="J84" s="399">
        <v>37</v>
      </c>
      <c r="K84" s="399">
        <v>4325</v>
      </c>
      <c r="L84" s="400">
        <v>69</v>
      </c>
      <c r="M84" s="401">
        <v>11</v>
      </c>
      <c r="N84" s="400">
        <v>225</v>
      </c>
      <c r="O84" s="402">
        <v>22554</v>
      </c>
      <c r="P84" s="403">
        <v>608</v>
      </c>
      <c r="Q84" s="399">
        <v>23162</v>
      </c>
    </row>
    <row r="85" spans="1:17">
      <c r="A85" s="404">
        <v>78</v>
      </c>
      <c r="B85" s="405" t="s">
        <v>96</v>
      </c>
      <c r="C85" s="406">
        <v>90</v>
      </c>
      <c r="D85" s="339">
        <v>1213</v>
      </c>
      <c r="E85" s="406">
        <v>198</v>
      </c>
      <c r="F85" s="406">
        <v>30</v>
      </c>
      <c r="G85" s="406">
        <v>177</v>
      </c>
      <c r="H85" s="406">
        <v>0</v>
      </c>
      <c r="I85" s="406">
        <v>0</v>
      </c>
      <c r="J85" s="406">
        <v>0</v>
      </c>
      <c r="K85" s="406">
        <v>5</v>
      </c>
      <c r="L85" s="408">
        <v>1</v>
      </c>
      <c r="M85" s="406">
        <v>2</v>
      </c>
      <c r="N85" s="408">
        <v>1</v>
      </c>
      <c r="O85" s="409">
        <v>1717</v>
      </c>
      <c r="P85" s="410">
        <v>60</v>
      </c>
      <c r="Q85" s="406">
        <v>1777</v>
      </c>
    </row>
    <row r="86" spans="1:17">
      <c r="A86" s="397">
        <v>79</v>
      </c>
      <c r="B86" s="398" t="s">
        <v>97</v>
      </c>
      <c r="C86" s="411">
        <v>1311</v>
      </c>
      <c r="D86" s="399">
        <v>1171</v>
      </c>
      <c r="E86" s="399">
        <v>503</v>
      </c>
      <c r="F86" s="399">
        <v>97</v>
      </c>
      <c r="G86" s="399">
        <v>7</v>
      </c>
      <c r="H86" s="399">
        <v>15</v>
      </c>
      <c r="I86" s="399">
        <v>4</v>
      </c>
      <c r="J86" s="399">
        <v>0</v>
      </c>
      <c r="K86" s="399">
        <v>2</v>
      </c>
      <c r="L86" s="400">
        <v>9</v>
      </c>
      <c r="M86" s="401">
        <v>0</v>
      </c>
      <c r="N86" s="400">
        <v>7</v>
      </c>
      <c r="O86" s="402">
        <v>3126</v>
      </c>
      <c r="P86" s="403">
        <v>130</v>
      </c>
      <c r="Q86" s="399">
        <v>3256</v>
      </c>
    </row>
    <row r="87" spans="1:17">
      <c r="A87" s="404">
        <v>80</v>
      </c>
      <c r="B87" s="405" t="s">
        <v>663</v>
      </c>
      <c r="C87" s="406">
        <v>1924</v>
      </c>
      <c r="D87" s="339">
        <v>2036</v>
      </c>
      <c r="E87" s="406">
        <v>99</v>
      </c>
      <c r="F87" s="406">
        <v>15</v>
      </c>
      <c r="G87" s="406">
        <v>51</v>
      </c>
      <c r="H87" s="406">
        <v>1</v>
      </c>
      <c r="I87" s="406">
        <v>1</v>
      </c>
      <c r="J87" s="406">
        <v>0</v>
      </c>
      <c r="K87" s="406">
        <v>2</v>
      </c>
      <c r="L87" s="408">
        <v>1</v>
      </c>
      <c r="M87" s="406">
        <v>2</v>
      </c>
      <c r="N87" s="408">
        <v>6</v>
      </c>
      <c r="O87" s="409">
        <v>4138</v>
      </c>
      <c r="P87" s="410">
        <v>125</v>
      </c>
      <c r="Q87" s="406">
        <v>4263</v>
      </c>
    </row>
    <row r="88" spans="1:17">
      <c r="A88" s="397">
        <v>81</v>
      </c>
      <c r="B88" s="398" t="s">
        <v>99</v>
      </c>
      <c r="C88" s="399">
        <v>3035</v>
      </c>
      <c r="D88" s="339">
        <v>4289</v>
      </c>
      <c r="E88" s="399">
        <v>243</v>
      </c>
      <c r="F88" s="399">
        <v>50</v>
      </c>
      <c r="G88" s="399">
        <v>33</v>
      </c>
      <c r="H88" s="399">
        <v>0</v>
      </c>
      <c r="I88" s="399">
        <v>0</v>
      </c>
      <c r="J88" s="399">
        <v>0</v>
      </c>
      <c r="K88" s="399">
        <v>0</v>
      </c>
      <c r="L88" s="400">
        <v>0</v>
      </c>
      <c r="M88" s="401">
        <v>0</v>
      </c>
      <c r="N88" s="400">
        <v>112</v>
      </c>
      <c r="O88" s="402">
        <v>7762</v>
      </c>
      <c r="P88" s="403">
        <v>356</v>
      </c>
      <c r="Q88" s="399">
        <v>8118</v>
      </c>
    </row>
    <row r="89" spans="1:17">
      <c r="A89" s="404">
        <v>82</v>
      </c>
      <c r="B89" s="405" t="s">
        <v>664</v>
      </c>
      <c r="C89" s="411">
        <v>34291</v>
      </c>
      <c r="D89" s="406">
        <v>20897</v>
      </c>
      <c r="E89" s="406">
        <v>6211</v>
      </c>
      <c r="F89" s="406">
        <v>447</v>
      </c>
      <c r="G89" s="406">
        <v>702</v>
      </c>
      <c r="H89" s="406">
        <v>81</v>
      </c>
      <c r="I89" s="406">
        <v>424</v>
      </c>
      <c r="J89" s="406">
        <v>86</v>
      </c>
      <c r="K89" s="406">
        <v>263</v>
      </c>
      <c r="L89" s="408">
        <v>77</v>
      </c>
      <c r="M89" s="406">
        <v>782</v>
      </c>
      <c r="N89" s="408">
        <v>8</v>
      </c>
      <c r="O89" s="409">
        <v>64269</v>
      </c>
      <c r="P89" s="410">
        <v>1011</v>
      </c>
      <c r="Q89" s="406">
        <v>65280</v>
      </c>
    </row>
    <row r="90" spans="1:17">
      <c r="A90" s="397">
        <v>83</v>
      </c>
      <c r="B90" s="398" t="s">
        <v>511</v>
      </c>
      <c r="C90" s="399">
        <v>2562</v>
      </c>
      <c r="D90" s="339">
        <v>13696</v>
      </c>
      <c r="E90" s="399">
        <v>7754</v>
      </c>
      <c r="F90" s="399">
        <v>191</v>
      </c>
      <c r="G90" s="399">
        <v>106</v>
      </c>
      <c r="H90" s="399">
        <v>7</v>
      </c>
      <c r="I90" s="399">
        <v>24</v>
      </c>
      <c r="J90" s="399">
        <v>53</v>
      </c>
      <c r="K90" s="399">
        <v>1176</v>
      </c>
      <c r="L90" s="400">
        <v>57</v>
      </c>
      <c r="M90" s="401">
        <v>0</v>
      </c>
      <c r="N90" s="400">
        <v>29</v>
      </c>
      <c r="O90" s="402">
        <v>25655</v>
      </c>
      <c r="P90" s="403">
        <v>981</v>
      </c>
      <c r="Q90" s="399">
        <v>26636</v>
      </c>
    </row>
    <row r="91" spans="1:17">
      <c r="A91" s="404">
        <v>84</v>
      </c>
      <c r="B91" s="405" t="s">
        <v>100</v>
      </c>
      <c r="C91" s="406">
        <v>890</v>
      </c>
      <c r="D91" s="339">
        <v>1402</v>
      </c>
      <c r="E91" s="406">
        <v>290</v>
      </c>
      <c r="F91" s="406">
        <v>22</v>
      </c>
      <c r="G91" s="406">
        <v>648</v>
      </c>
      <c r="H91" s="406">
        <v>0</v>
      </c>
      <c r="I91" s="406">
        <v>0</v>
      </c>
      <c r="J91" s="406">
        <v>5</v>
      </c>
      <c r="K91" s="406">
        <v>29</v>
      </c>
      <c r="L91" s="408">
        <v>0</v>
      </c>
      <c r="M91" s="406">
        <v>13</v>
      </c>
      <c r="N91" s="408">
        <v>5</v>
      </c>
      <c r="O91" s="409">
        <v>3304</v>
      </c>
      <c r="P91" s="410">
        <v>84</v>
      </c>
      <c r="Q91" s="406">
        <v>3388</v>
      </c>
    </row>
    <row r="92" spans="1:17">
      <c r="A92" s="397">
        <v>85</v>
      </c>
      <c r="B92" s="398" t="s">
        <v>101</v>
      </c>
      <c r="C92" s="411">
        <v>4733</v>
      </c>
      <c r="D92" s="399">
        <v>3990</v>
      </c>
      <c r="E92" s="399">
        <v>1779</v>
      </c>
      <c r="F92" s="399">
        <v>196</v>
      </c>
      <c r="G92" s="399">
        <v>45</v>
      </c>
      <c r="H92" s="399">
        <v>1</v>
      </c>
      <c r="I92" s="399">
        <v>23</v>
      </c>
      <c r="J92" s="399">
        <v>8</v>
      </c>
      <c r="K92" s="399">
        <v>14</v>
      </c>
      <c r="L92" s="400">
        <v>30</v>
      </c>
      <c r="M92" s="401">
        <v>26</v>
      </c>
      <c r="N92" s="400">
        <v>3</v>
      </c>
      <c r="O92" s="402">
        <v>10848</v>
      </c>
      <c r="P92" s="403">
        <v>212</v>
      </c>
      <c r="Q92" s="399">
        <v>11060</v>
      </c>
    </row>
    <row r="93" spans="1:17">
      <c r="A93" s="404">
        <v>86</v>
      </c>
      <c r="B93" s="405" t="s">
        <v>102</v>
      </c>
      <c r="C93" s="406">
        <v>4075</v>
      </c>
      <c r="D93" s="339">
        <v>9549</v>
      </c>
      <c r="E93" s="406">
        <v>3162</v>
      </c>
      <c r="F93" s="406">
        <v>1395</v>
      </c>
      <c r="G93" s="406">
        <v>61</v>
      </c>
      <c r="H93" s="406">
        <v>23</v>
      </c>
      <c r="I93" s="406">
        <v>26</v>
      </c>
      <c r="J93" s="406">
        <v>65</v>
      </c>
      <c r="K93" s="406">
        <v>46</v>
      </c>
      <c r="L93" s="408">
        <v>44</v>
      </c>
      <c r="M93" s="406">
        <v>53</v>
      </c>
      <c r="N93" s="408">
        <v>12</v>
      </c>
      <c r="O93" s="409">
        <v>18511</v>
      </c>
      <c r="P93" s="410">
        <v>1079</v>
      </c>
      <c r="Q93" s="406">
        <v>19590</v>
      </c>
    </row>
    <row r="94" spans="1:17">
      <c r="A94" s="397">
        <v>87</v>
      </c>
      <c r="B94" s="398" t="s">
        <v>104</v>
      </c>
      <c r="C94" s="399">
        <v>3824</v>
      </c>
      <c r="D94" s="339">
        <v>4165</v>
      </c>
      <c r="E94" s="399">
        <v>763</v>
      </c>
      <c r="F94" s="399">
        <v>75</v>
      </c>
      <c r="G94" s="399">
        <v>49</v>
      </c>
      <c r="H94" s="399">
        <v>36</v>
      </c>
      <c r="I94" s="399">
        <v>17</v>
      </c>
      <c r="J94" s="399">
        <v>21</v>
      </c>
      <c r="K94" s="399">
        <v>11</v>
      </c>
      <c r="L94" s="400">
        <v>24</v>
      </c>
      <c r="M94" s="401">
        <v>1</v>
      </c>
      <c r="N94" s="400">
        <v>4</v>
      </c>
      <c r="O94" s="402">
        <v>8990</v>
      </c>
      <c r="P94" s="403">
        <v>401</v>
      </c>
      <c r="Q94" s="399">
        <v>9391</v>
      </c>
    </row>
    <row r="95" spans="1:17">
      <c r="A95" s="404">
        <v>88</v>
      </c>
      <c r="B95" s="405" t="s">
        <v>105</v>
      </c>
      <c r="C95" s="406">
        <v>3963</v>
      </c>
      <c r="D95" s="339">
        <v>9275</v>
      </c>
      <c r="E95" s="406">
        <v>5602</v>
      </c>
      <c r="F95" s="406">
        <v>432</v>
      </c>
      <c r="G95" s="406">
        <v>140</v>
      </c>
      <c r="H95" s="406">
        <v>43</v>
      </c>
      <c r="I95" s="406">
        <v>25</v>
      </c>
      <c r="J95" s="406">
        <v>33</v>
      </c>
      <c r="K95" s="406">
        <v>27</v>
      </c>
      <c r="L95" s="408">
        <v>44</v>
      </c>
      <c r="M95" s="406">
        <v>12</v>
      </c>
      <c r="N95" s="408">
        <v>270</v>
      </c>
      <c r="O95" s="409">
        <v>19866</v>
      </c>
      <c r="P95" s="410">
        <v>893</v>
      </c>
      <c r="Q95" s="406">
        <v>20759</v>
      </c>
    </row>
    <row r="96" spans="1:17">
      <c r="A96" s="397">
        <v>89</v>
      </c>
      <c r="B96" s="398" t="s">
        <v>107</v>
      </c>
      <c r="C96" s="399">
        <v>7148</v>
      </c>
      <c r="D96" s="339">
        <v>9843</v>
      </c>
      <c r="E96" s="399">
        <v>4652</v>
      </c>
      <c r="F96" s="399">
        <v>274</v>
      </c>
      <c r="G96" s="399">
        <v>555</v>
      </c>
      <c r="H96" s="399">
        <v>21</v>
      </c>
      <c r="I96" s="399">
        <v>289</v>
      </c>
      <c r="J96" s="399">
        <v>27</v>
      </c>
      <c r="K96" s="399">
        <v>61</v>
      </c>
      <c r="L96" s="400">
        <v>49</v>
      </c>
      <c r="M96" s="401">
        <v>48</v>
      </c>
      <c r="N96" s="400">
        <v>5</v>
      </c>
      <c r="O96" s="402">
        <v>22972</v>
      </c>
      <c r="P96" s="403">
        <v>557</v>
      </c>
      <c r="Q96" s="399">
        <v>23529</v>
      </c>
    </row>
    <row r="97" spans="1:17">
      <c r="A97" s="404">
        <v>90</v>
      </c>
      <c r="B97" s="405" t="s">
        <v>108</v>
      </c>
      <c r="C97" s="406">
        <v>349</v>
      </c>
      <c r="D97" s="339">
        <v>1346</v>
      </c>
      <c r="E97" s="406">
        <v>1105</v>
      </c>
      <c r="F97" s="406">
        <v>19</v>
      </c>
      <c r="G97" s="406">
        <v>832</v>
      </c>
      <c r="H97" s="406">
        <v>1</v>
      </c>
      <c r="I97" s="406">
        <v>0</v>
      </c>
      <c r="J97" s="406">
        <v>2</v>
      </c>
      <c r="K97" s="406">
        <v>49</v>
      </c>
      <c r="L97" s="408">
        <v>77</v>
      </c>
      <c r="M97" s="406">
        <v>2</v>
      </c>
      <c r="N97" s="408">
        <v>1</v>
      </c>
      <c r="O97" s="409">
        <v>3783</v>
      </c>
      <c r="P97" s="410">
        <v>89</v>
      </c>
      <c r="Q97" s="406">
        <v>3872</v>
      </c>
    </row>
    <row r="98" spans="1:17">
      <c r="A98" s="397">
        <v>91</v>
      </c>
      <c r="B98" s="398" t="s">
        <v>109</v>
      </c>
      <c r="C98" s="399">
        <v>6088</v>
      </c>
      <c r="D98" s="339">
        <v>9452</v>
      </c>
      <c r="E98" s="399">
        <v>2040</v>
      </c>
      <c r="F98" s="399">
        <v>205</v>
      </c>
      <c r="G98" s="399">
        <v>513</v>
      </c>
      <c r="H98" s="399">
        <v>2</v>
      </c>
      <c r="I98" s="399">
        <v>79</v>
      </c>
      <c r="J98" s="399">
        <v>21</v>
      </c>
      <c r="K98" s="399">
        <v>72</v>
      </c>
      <c r="L98" s="400">
        <v>15</v>
      </c>
      <c r="M98" s="401">
        <v>3</v>
      </c>
      <c r="N98" s="400">
        <v>13</v>
      </c>
      <c r="O98" s="402">
        <v>18503</v>
      </c>
      <c r="P98" s="403">
        <v>471</v>
      </c>
      <c r="Q98" s="399">
        <v>18974</v>
      </c>
    </row>
    <row r="99" spans="1:17">
      <c r="A99" s="404">
        <v>92</v>
      </c>
      <c r="B99" s="405" t="s">
        <v>608</v>
      </c>
      <c r="C99" s="411">
        <v>6381</v>
      </c>
      <c r="D99" s="406">
        <v>5741</v>
      </c>
      <c r="E99" s="406">
        <v>5523</v>
      </c>
      <c r="F99" s="406">
        <v>285</v>
      </c>
      <c r="G99" s="406">
        <v>3884</v>
      </c>
      <c r="H99" s="406">
        <v>6</v>
      </c>
      <c r="I99" s="406">
        <v>93</v>
      </c>
      <c r="J99" s="406">
        <v>6</v>
      </c>
      <c r="K99" s="406">
        <v>17</v>
      </c>
      <c r="L99" s="408">
        <v>99</v>
      </c>
      <c r="M99" s="406">
        <v>847</v>
      </c>
      <c r="N99" s="408">
        <v>8</v>
      </c>
      <c r="O99" s="409">
        <v>22890</v>
      </c>
      <c r="P99" s="410">
        <v>518</v>
      </c>
      <c r="Q99" s="406">
        <v>23408</v>
      </c>
    </row>
    <row r="100" spans="1:17">
      <c r="A100" s="397">
        <v>93</v>
      </c>
      <c r="B100" s="398" t="s">
        <v>665</v>
      </c>
      <c r="C100" s="399">
        <v>1371</v>
      </c>
      <c r="D100" s="399">
        <v>5373</v>
      </c>
      <c r="E100" s="407">
        <v>8748</v>
      </c>
      <c r="F100" s="399">
        <v>1073</v>
      </c>
      <c r="G100" s="399">
        <v>79</v>
      </c>
      <c r="H100" s="399">
        <v>6</v>
      </c>
      <c r="I100" s="399">
        <v>860</v>
      </c>
      <c r="J100" s="399">
        <v>22</v>
      </c>
      <c r="K100" s="399">
        <v>31</v>
      </c>
      <c r="L100" s="400">
        <v>5</v>
      </c>
      <c r="M100" s="401">
        <v>5</v>
      </c>
      <c r="N100" s="400">
        <v>5</v>
      </c>
      <c r="O100" s="402">
        <v>17578</v>
      </c>
      <c r="P100" s="403">
        <v>409</v>
      </c>
      <c r="Q100" s="399">
        <v>17987</v>
      </c>
    </row>
    <row r="101" spans="1:17">
      <c r="A101" s="404">
        <v>94</v>
      </c>
      <c r="B101" s="405" t="s">
        <v>110</v>
      </c>
      <c r="C101" s="406">
        <v>729</v>
      </c>
      <c r="D101" s="406">
        <v>3149</v>
      </c>
      <c r="E101" s="407">
        <v>3216</v>
      </c>
      <c r="F101" s="406">
        <v>228</v>
      </c>
      <c r="G101" s="406">
        <v>51</v>
      </c>
      <c r="H101" s="406">
        <v>158</v>
      </c>
      <c r="I101" s="406">
        <v>199</v>
      </c>
      <c r="J101" s="406">
        <v>10</v>
      </c>
      <c r="K101" s="406">
        <v>143</v>
      </c>
      <c r="L101" s="408">
        <v>38</v>
      </c>
      <c r="M101" s="406">
        <v>4</v>
      </c>
      <c r="N101" s="408">
        <v>1</v>
      </c>
      <c r="O101" s="409">
        <v>7926</v>
      </c>
      <c r="P101" s="410">
        <v>219</v>
      </c>
      <c r="Q101" s="406">
        <v>8145</v>
      </c>
    </row>
    <row r="102" spans="1:17">
      <c r="A102" s="397">
        <v>95</v>
      </c>
      <c r="B102" s="398" t="s">
        <v>610</v>
      </c>
      <c r="C102" s="399">
        <v>1782</v>
      </c>
      <c r="D102" s="339">
        <v>2892</v>
      </c>
      <c r="E102" s="399">
        <v>956</v>
      </c>
      <c r="F102" s="399">
        <v>186</v>
      </c>
      <c r="G102" s="399">
        <v>36</v>
      </c>
      <c r="H102" s="399">
        <v>1</v>
      </c>
      <c r="I102" s="399">
        <v>2</v>
      </c>
      <c r="J102" s="399">
        <v>2</v>
      </c>
      <c r="K102" s="399">
        <v>11</v>
      </c>
      <c r="L102" s="400">
        <v>1</v>
      </c>
      <c r="M102" s="401">
        <v>8</v>
      </c>
      <c r="N102" s="400">
        <v>1</v>
      </c>
      <c r="O102" s="402">
        <v>5878</v>
      </c>
      <c r="P102" s="403">
        <v>136</v>
      </c>
      <c r="Q102" s="399">
        <v>6014</v>
      </c>
    </row>
    <row r="103" spans="1:17">
      <c r="A103" s="404">
        <v>96</v>
      </c>
      <c r="B103" s="405" t="s">
        <v>112</v>
      </c>
      <c r="C103" s="411">
        <v>9301</v>
      </c>
      <c r="D103" s="406">
        <v>7673</v>
      </c>
      <c r="E103" s="406">
        <v>2811</v>
      </c>
      <c r="F103" s="406">
        <v>1215</v>
      </c>
      <c r="G103" s="406">
        <v>1702</v>
      </c>
      <c r="H103" s="406">
        <v>41</v>
      </c>
      <c r="I103" s="406">
        <v>137</v>
      </c>
      <c r="J103" s="406">
        <v>7</v>
      </c>
      <c r="K103" s="406">
        <v>22</v>
      </c>
      <c r="L103" s="408">
        <v>772</v>
      </c>
      <c r="M103" s="406">
        <v>120</v>
      </c>
      <c r="N103" s="408">
        <v>2</v>
      </c>
      <c r="O103" s="409">
        <v>23803</v>
      </c>
      <c r="P103" s="410">
        <v>448</v>
      </c>
      <c r="Q103" s="406">
        <v>24251</v>
      </c>
    </row>
    <row r="104" spans="1:17">
      <c r="A104" s="397">
        <v>97</v>
      </c>
      <c r="B104" s="398" t="s">
        <v>113</v>
      </c>
      <c r="C104" s="411">
        <v>4770</v>
      </c>
      <c r="D104" s="399">
        <v>3939</v>
      </c>
      <c r="E104" s="399">
        <v>919</v>
      </c>
      <c r="F104" s="399">
        <v>44</v>
      </c>
      <c r="G104" s="399">
        <v>49</v>
      </c>
      <c r="H104" s="399">
        <v>15</v>
      </c>
      <c r="I104" s="399">
        <v>4</v>
      </c>
      <c r="J104" s="399">
        <v>7</v>
      </c>
      <c r="K104" s="399">
        <v>13</v>
      </c>
      <c r="L104" s="400">
        <v>8</v>
      </c>
      <c r="M104" s="401">
        <v>19</v>
      </c>
      <c r="N104" s="400">
        <v>4</v>
      </c>
      <c r="O104" s="402">
        <v>9791</v>
      </c>
      <c r="P104" s="403">
        <v>151</v>
      </c>
      <c r="Q104" s="399">
        <v>9942</v>
      </c>
    </row>
    <row r="105" spans="1:17">
      <c r="A105" s="404">
        <v>98</v>
      </c>
      <c r="B105" s="405" t="s">
        <v>114</v>
      </c>
      <c r="C105" s="406">
        <v>41</v>
      </c>
      <c r="D105" s="339">
        <v>2470</v>
      </c>
      <c r="E105" s="406">
        <v>2347</v>
      </c>
      <c r="F105" s="406">
        <v>134</v>
      </c>
      <c r="G105" s="406">
        <v>3</v>
      </c>
      <c r="H105" s="406">
        <v>0</v>
      </c>
      <c r="I105" s="406">
        <v>20</v>
      </c>
      <c r="J105" s="406">
        <v>4</v>
      </c>
      <c r="K105" s="406">
        <v>9</v>
      </c>
      <c r="L105" s="408">
        <v>5</v>
      </c>
      <c r="M105" s="406">
        <v>1</v>
      </c>
      <c r="N105" s="408">
        <v>6</v>
      </c>
      <c r="O105" s="409">
        <v>5040</v>
      </c>
      <c r="P105" s="410">
        <v>169</v>
      </c>
      <c r="Q105" s="406">
        <v>5209</v>
      </c>
    </row>
    <row r="106" spans="1:17">
      <c r="A106" s="397">
        <v>99</v>
      </c>
      <c r="B106" s="398" t="s">
        <v>115</v>
      </c>
      <c r="C106" s="399">
        <v>153</v>
      </c>
      <c r="D106" s="399">
        <v>781</v>
      </c>
      <c r="E106" s="407">
        <v>796</v>
      </c>
      <c r="F106" s="399">
        <v>11</v>
      </c>
      <c r="G106" s="399">
        <v>3</v>
      </c>
      <c r="H106" s="399">
        <v>1</v>
      </c>
      <c r="I106" s="399">
        <v>0</v>
      </c>
      <c r="J106" s="399">
        <v>0</v>
      </c>
      <c r="K106" s="399">
        <v>0</v>
      </c>
      <c r="L106" s="400">
        <v>0</v>
      </c>
      <c r="M106" s="401">
        <v>0</v>
      </c>
      <c r="N106" s="400">
        <v>0</v>
      </c>
      <c r="O106" s="402">
        <v>1745</v>
      </c>
      <c r="P106" s="403">
        <v>36</v>
      </c>
      <c r="Q106" s="399">
        <v>1781</v>
      </c>
    </row>
    <row r="107" spans="1:17">
      <c r="A107" s="404">
        <v>100</v>
      </c>
      <c r="B107" s="405" t="s">
        <v>116</v>
      </c>
      <c r="C107" s="406">
        <v>11144</v>
      </c>
      <c r="D107" s="406">
        <v>26803</v>
      </c>
      <c r="E107" s="407">
        <v>30098</v>
      </c>
      <c r="F107" s="406">
        <v>570</v>
      </c>
      <c r="G107" s="406">
        <v>814</v>
      </c>
      <c r="H107" s="406">
        <v>962</v>
      </c>
      <c r="I107" s="406">
        <v>300</v>
      </c>
      <c r="J107" s="406">
        <v>69</v>
      </c>
      <c r="K107" s="406">
        <v>270</v>
      </c>
      <c r="L107" s="408">
        <v>158</v>
      </c>
      <c r="M107" s="406">
        <v>666</v>
      </c>
      <c r="N107" s="408">
        <v>440</v>
      </c>
      <c r="O107" s="409">
        <v>72294</v>
      </c>
      <c r="P107" s="410">
        <v>1688</v>
      </c>
      <c r="Q107" s="406">
        <v>73982</v>
      </c>
    </row>
    <row r="108" spans="1:17">
      <c r="A108" s="397">
        <v>101</v>
      </c>
      <c r="B108" s="398" t="s">
        <v>117</v>
      </c>
      <c r="C108" s="399">
        <v>1843</v>
      </c>
      <c r="D108" s="399">
        <v>2230</v>
      </c>
      <c r="E108" s="407">
        <v>2362</v>
      </c>
      <c r="F108" s="399">
        <v>635</v>
      </c>
      <c r="G108" s="399">
        <v>39</v>
      </c>
      <c r="H108" s="399">
        <v>258</v>
      </c>
      <c r="I108" s="399">
        <v>94</v>
      </c>
      <c r="J108" s="399">
        <v>0</v>
      </c>
      <c r="K108" s="399">
        <v>3</v>
      </c>
      <c r="L108" s="400">
        <v>6</v>
      </c>
      <c r="M108" s="401">
        <v>4</v>
      </c>
      <c r="N108" s="400">
        <v>5</v>
      </c>
      <c r="O108" s="402">
        <v>7479</v>
      </c>
      <c r="P108" s="403">
        <v>154</v>
      </c>
      <c r="Q108" s="399">
        <v>7633</v>
      </c>
    </row>
    <row r="109" spans="1:17">
      <c r="A109" s="404">
        <v>102</v>
      </c>
      <c r="B109" s="405" t="s">
        <v>118</v>
      </c>
      <c r="C109" s="406">
        <v>5643</v>
      </c>
      <c r="D109" s="339">
        <v>8783</v>
      </c>
      <c r="E109" s="406">
        <v>3871</v>
      </c>
      <c r="F109" s="406">
        <v>442</v>
      </c>
      <c r="G109" s="406">
        <v>296</v>
      </c>
      <c r="H109" s="406">
        <v>2</v>
      </c>
      <c r="I109" s="406">
        <v>76</v>
      </c>
      <c r="J109" s="406">
        <v>1</v>
      </c>
      <c r="K109" s="406">
        <v>18</v>
      </c>
      <c r="L109" s="408">
        <v>11</v>
      </c>
      <c r="M109" s="406">
        <v>8</v>
      </c>
      <c r="N109" s="408">
        <v>17</v>
      </c>
      <c r="O109" s="409">
        <v>19168</v>
      </c>
      <c r="P109" s="410">
        <v>516</v>
      </c>
      <c r="Q109" s="406">
        <v>19684</v>
      </c>
    </row>
    <row r="110" spans="1:17">
      <c r="A110" s="397">
        <v>103</v>
      </c>
      <c r="B110" s="398" t="s">
        <v>119</v>
      </c>
      <c r="C110" s="411">
        <v>2764</v>
      </c>
      <c r="D110" s="399">
        <v>2723</v>
      </c>
      <c r="E110" s="399">
        <v>155</v>
      </c>
      <c r="F110" s="399">
        <v>34</v>
      </c>
      <c r="G110" s="399">
        <v>56</v>
      </c>
      <c r="H110" s="399">
        <v>0</v>
      </c>
      <c r="I110" s="399">
        <v>15</v>
      </c>
      <c r="J110" s="399">
        <v>0</v>
      </c>
      <c r="K110" s="399">
        <v>0</v>
      </c>
      <c r="L110" s="400">
        <v>7</v>
      </c>
      <c r="M110" s="401">
        <v>0</v>
      </c>
      <c r="N110" s="400">
        <v>0</v>
      </c>
      <c r="O110" s="402">
        <v>5754</v>
      </c>
      <c r="P110" s="403">
        <v>199</v>
      </c>
      <c r="Q110" s="399">
        <v>5953</v>
      </c>
    </row>
    <row r="111" spans="1:17">
      <c r="A111" s="404">
        <v>104</v>
      </c>
      <c r="B111" s="405" t="s">
        <v>120</v>
      </c>
      <c r="C111" s="406">
        <v>2180</v>
      </c>
      <c r="D111" s="339">
        <v>6011</v>
      </c>
      <c r="E111" s="406">
        <v>4524</v>
      </c>
      <c r="F111" s="406">
        <v>517</v>
      </c>
      <c r="G111" s="406">
        <v>2558</v>
      </c>
      <c r="H111" s="406">
        <v>7</v>
      </c>
      <c r="I111" s="406">
        <v>823</v>
      </c>
      <c r="J111" s="406">
        <v>2</v>
      </c>
      <c r="K111" s="406">
        <v>86</v>
      </c>
      <c r="L111" s="408">
        <v>19</v>
      </c>
      <c r="M111" s="406">
        <v>58</v>
      </c>
      <c r="N111" s="408">
        <v>0</v>
      </c>
      <c r="O111" s="409">
        <v>16785</v>
      </c>
      <c r="P111" s="410">
        <v>394</v>
      </c>
      <c r="Q111" s="406">
        <v>17179</v>
      </c>
    </row>
    <row r="112" spans="1:17">
      <c r="A112" s="397">
        <v>105</v>
      </c>
      <c r="B112" s="398" t="s">
        <v>524</v>
      </c>
      <c r="C112" s="411">
        <v>198035</v>
      </c>
      <c r="D112" s="399">
        <v>80718</v>
      </c>
      <c r="E112" s="399">
        <v>40092</v>
      </c>
      <c r="F112" s="399">
        <v>2758</v>
      </c>
      <c r="G112" s="399">
        <v>5551</v>
      </c>
      <c r="H112" s="399">
        <v>390</v>
      </c>
      <c r="I112" s="399">
        <v>1975</v>
      </c>
      <c r="J112" s="399">
        <v>323</v>
      </c>
      <c r="K112" s="399">
        <v>1103</v>
      </c>
      <c r="L112" s="400">
        <v>666</v>
      </c>
      <c r="M112" s="401">
        <v>5728</v>
      </c>
      <c r="N112" s="400">
        <v>358</v>
      </c>
      <c r="O112" s="402">
        <v>337697</v>
      </c>
      <c r="P112" s="403">
        <v>5752</v>
      </c>
      <c r="Q112" s="399">
        <v>343449</v>
      </c>
    </row>
    <row r="113" spans="1:17">
      <c r="A113" s="404">
        <v>106</v>
      </c>
      <c r="B113" s="405" t="s">
        <v>121</v>
      </c>
      <c r="C113" s="406">
        <v>229</v>
      </c>
      <c r="D113" s="406">
        <v>5911</v>
      </c>
      <c r="E113" s="407">
        <v>6279</v>
      </c>
      <c r="F113" s="406">
        <v>47</v>
      </c>
      <c r="G113" s="406">
        <v>9</v>
      </c>
      <c r="H113" s="406">
        <v>1</v>
      </c>
      <c r="I113" s="406">
        <v>4</v>
      </c>
      <c r="J113" s="406">
        <v>10</v>
      </c>
      <c r="K113" s="406">
        <v>15</v>
      </c>
      <c r="L113" s="408">
        <v>7</v>
      </c>
      <c r="M113" s="406">
        <v>1</v>
      </c>
      <c r="N113" s="408">
        <v>5</v>
      </c>
      <c r="O113" s="409">
        <v>12518</v>
      </c>
      <c r="P113" s="410">
        <v>310</v>
      </c>
      <c r="Q113" s="406">
        <v>12828</v>
      </c>
    </row>
    <row r="114" spans="1:17">
      <c r="A114" s="397">
        <v>107</v>
      </c>
      <c r="B114" s="398" t="s">
        <v>122</v>
      </c>
      <c r="C114" s="411">
        <v>118781</v>
      </c>
      <c r="D114" s="399">
        <v>100237</v>
      </c>
      <c r="E114" s="399">
        <v>24346</v>
      </c>
      <c r="F114" s="399">
        <v>3002</v>
      </c>
      <c r="G114" s="399">
        <v>4446</v>
      </c>
      <c r="H114" s="399">
        <v>560</v>
      </c>
      <c r="I114" s="399">
        <v>1683</v>
      </c>
      <c r="J114" s="399">
        <v>327</v>
      </c>
      <c r="K114" s="399">
        <v>825</v>
      </c>
      <c r="L114" s="400">
        <v>854</v>
      </c>
      <c r="M114" s="401">
        <v>2973</v>
      </c>
      <c r="N114" s="400">
        <v>312</v>
      </c>
      <c r="O114" s="402">
        <v>258346</v>
      </c>
      <c r="P114" s="403">
        <v>4362</v>
      </c>
      <c r="Q114" s="399">
        <v>262708</v>
      </c>
    </row>
    <row r="115" spans="1:17">
      <c r="A115" s="404">
        <v>108</v>
      </c>
      <c r="B115" s="405" t="s">
        <v>123</v>
      </c>
      <c r="C115" s="406">
        <v>310</v>
      </c>
      <c r="D115" s="339">
        <v>1903</v>
      </c>
      <c r="E115" s="406">
        <v>1229</v>
      </c>
      <c r="F115" s="406">
        <v>14</v>
      </c>
      <c r="G115" s="406">
        <v>214</v>
      </c>
      <c r="H115" s="406">
        <v>829</v>
      </c>
      <c r="I115" s="406">
        <v>8</v>
      </c>
      <c r="J115" s="406">
        <v>6</v>
      </c>
      <c r="K115" s="406">
        <v>2</v>
      </c>
      <c r="L115" s="408">
        <v>2</v>
      </c>
      <c r="M115" s="406">
        <v>2</v>
      </c>
      <c r="N115" s="408">
        <v>1</v>
      </c>
      <c r="O115" s="409">
        <v>4520</v>
      </c>
      <c r="P115" s="410">
        <v>128</v>
      </c>
      <c r="Q115" s="406">
        <v>4648</v>
      </c>
    </row>
    <row r="116" spans="1:17">
      <c r="A116" s="397">
        <v>109</v>
      </c>
      <c r="B116" s="398" t="s">
        <v>124</v>
      </c>
      <c r="C116" s="399">
        <v>9297</v>
      </c>
      <c r="D116" s="339">
        <v>9670</v>
      </c>
      <c r="E116" s="399">
        <v>9337</v>
      </c>
      <c r="F116" s="399">
        <v>612</v>
      </c>
      <c r="G116" s="399">
        <v>347</v>
      </c>
      <c r="H116" s="399">
        <v>564</v>
      </c>
      <c r="I116" s="399">
        <v>605</v>
      </c>
      <c r="J116" s="399">
        <v>36</v>
      </c>
      <c r="K116" s="399">
        <v>33</v>
      </c>
      <c r="L116" s="400">
        <v>91</v>
      </c>
      <c r="M116" s="401">
        <v>311</v>
      </c>
      <c r="N116" s="400">
        <v>18</v>
      </c>
      <c r="O116" s="402">
        <v>30921</v>
      </c>
      <c r="P116" s="403">
        <v>525</v>
      </c>
      <c r="Q116" s="399">
        <v>31446</v>
      </c>
    </row>
    <row r="117" spans="1:17">
      <c r="A117" s="404">
        <v>110</v>
      </c>
      <c r="B117" s="405" t="s">
        <v>125</v>
      </c>
      <c r="C117" s="411">
        <v>68199</v>
      </c>
      <c r="D117" s="406">
        <v>47368</v>
      </c>
      <c r="E117" s="406">
        <v>26513</v>
      </c>
      <c r="F117" s="406">
        <v>1353</v>
      </c>
      <c r="G117" s="406">
        <v>2324</v>
      </c>
      <c r="H117" s="406">
        <v>233</v>
      </c>
      <c r="I117" s="406">
        <v>1015</v>
      </c>
      <c r="J117" s="406">
        <v>192</v>
      </c>
      <c r="K117" s="406">
        <v>531</v>
      </c>
      <c r="L117" s="408">
        <v>223</v>
      </c>
      <c r="M117" s="406">
        <v>2431</v>
      </c>
      <c r="N117" s="408">
        <v>319</v>
      </c>
      <c r="O117" s="409">
        <v>150701</v>
      </c>
      <c r="P117" s="410">
        <v>2407</v>
      </c>
      <c r="Q117" s="406">
        <v>153108</v>
      </c>
    </row>
    <row r="118" spans="1:17">
      <c r="A118" s="397">
        <v>111</v>
      </c>
      <c r="B118" s="398" t="s">
        <v>513</v>
      </c>
      <c r="C118" s="399">
        <v>5835</v>
      </c>
      <c r="D118" s="339">
        <v>6187</v>
      </c>
      <c r="E118" s="399">
        <v>4166</v>
      </c>
      <c r="F118" s="399">
        <v>103</v>
      </c>
      <c r="G118" s="399">
        <v>515</v>
      </c>
      <c r="H118" s="399">
        <v>83</v>
      </c>
      <c r="I118" s="399">
        <v>2636</v>
      </c>
      <c r="J118" s="399">
        <v>38</v>
      </c>
      <c r="K118" s="399">
        <v>13</v>
      </c>
      <c r="L118" s="400">
        <v>166</v>
      </c>
      <c r="M118" s="401">
        <v>128</v>
      </c>
      <c r="N118" s="400">
        <v>14</v>
      </c>
      <c r="O118" s="402">
        <v>19884</v>
      </c>
      <c r="P118" s="403">
        <v>593</v>
      </c>
      <c r="Q118" s="399">
        <v>20477</v>
      </c>
    </row>
    <row r="119" spans="1:17">
      <c r="A119" s="404">
        <v>112</v>
      </c>
      <c r="B119" s="405" t="s">
        <v>126</v>
      </c>
      <c r="C119" s="406">
        <v>987</v>
      </c>
      <c r="D119" s="339">
        <v>5730</v>
      </c>
      <c r="E119" s="406">
        <v>3953</v>
      </c>
      <c r="F119" s="406">
        <v>166</v>
      </c>
      <c r="G119" s="406">
        <v>56</v>
      </c>
      <c r="H119" s="406">
        <v>242</v>
      </c>
      <c r="I119" s="406">
        <v>53</v>
      </c>
      <c r="J119" s="406">
        <v>46</v>
      </c>
      <c r="K119" s="406">
        <v>32</v>
      </c>
      <c r="L119" s="408">
        <v>42</v>
      </c>
      <c r="M119" s="406">
        <v>4</v>
      </c>
      <c r="N119" s="408">
        <v>145</v>
      </c>
      <c r="O119" s="409">
        <v>11456</v>
      </c>
      <c r="P119" s="410">
        <v>631</v>
      </c>
      <c r="Q119" s="406">
        <v>12087</v>
      </c>
    </row>
    <row r="120" spans="1:17">
      <c r="A120" s="397">
        <v>113</v>
      </c>
      <c r="B120" s="398" t="s">
        <v>128</v>
      </c>
      <c r="C120" s="411">
        <v>5160</v>
      </c>
      <c r="D120" s="399">
        <v>5050</v>
      </c>
      <c r="E120" s="399">
        <v>364</v>
      </c>
      <c r="F120" s="399">
        <v>2005</v>
      </c>
      <c r="G120" s="399">
        <v>24</v>
      </c>
      <c r="H120" s="399">
        <v>6</v>
      </c>
      <c r="I120" s="399">
        <v>19</v>
      </c>
      <c r="J120" s="399">
        <v>8</v>
      </c>
      <c r="K120" s="399">
        <v>46</v>
      </c>
      <c r="L120" s="400">
        <v>24</v>
      </c>
      <c r="M120" s="401">
        <v>7</v>
      </c>
      <c r="N120" s="400">
        <v>16</v>
      </c>
      <c r="O120" s="402">
        <v>12729</v>
      </c>
      <c r="P120" s="403">
        <v>468</v>
      </c>
      <c r="Q120" s="399">
        <v>13197</v>
      </c>
    </row>
    <row r="121" spans="1:17">
      <c r="A121" s="404">
        <v>114</v>
      </c>
      <c r="B121" s="405" t="s">
        <v>129</v>
      </c>
      <c r="C121" s="406">
        <v>1022</v>
      </c>
      <c r="D121" s="406">
        <v>5370</v>
      </c>
      <c r="E121" s="407">
        <v>8323</v>
      </c>
      <c r="F121" s="406">
        <v>127</v>
      </c>
      <c r="G121" s="406">
        <v>42</v>
      </c>
      <c r="H121" s="406">
        <v>9</v>
      </c>
      <c r="I121" s="406">
        <v>21</v>
      </c>
      <c r="J121" s="406">
        <v>23</v>
      </c>
      <c r="K121" s="406">
        <v>34</v>
      </c>
      <c r="L121" s="408">
        <v>25</v>
      </c>
      <c r="M121" s="406">
        <v>10</v>
      </c>
      <c r="N121" s="408">
        <v>19</v>
      </c>
      <c r="O121" s="409">
        <v>15025</v>
      </c>
      <c r="P121" s="410">
        <v>529</v>
      </c>
      <c r="Q121" s="406">
        <v>15554</v>
      </c>
    </row>
    <row r="122" spans="1:17">
      <c r="A122" s="397">
        <v>115</v>
      </c>
      <c r="B122" s="398" t="s">
        <v>130</v>
      </c>
      <c r="C122" s="399">
        <v>3693</v>
      </c>
      <c r="D122" s="339">
        <v>12458</v>
      </c>
      <c r="E122" s="399">
        <v>2641</v>
      </c>
      <c r="F122" s="399">
        <v>662</v>
      </c>
      <c r="G122" s="399">
        <v>220</v>
      </c>
      <c r="H122" s="399">
        <v>128</v>
      </c>
      <c r="I122" s="399">
        <v>789</v>
      </c>
      <c r="J122" s="399">
        <v>50</v>
      </c>
      <c r="K122" s="399">
        <v>70</v>
      </c>
      <c r="L122" s="400">
        <v>114</v>
      </c>
      <c r="M122" s="401">
        <v>12</v>
      </c>
      <c r="N122" s="400">
        <v>14</v>
      </c>
      <c r="O122" s="402">
        <v>20851</v>
      </c>
      <c r="P122" s="403">
        <v>1312</v>
      </c>
      <c r="Q122" s="399">
        <v>22163</v>
      </c>
    </row>
    <row r="123" spans="1:17">
      <c r="A123" s="404">
        <v>116</v>
      </c>
      <c r="B123" s="405" t="s">
        <v>131</v>
      </c>
      <c r="C123" s="406">
        <v>2059</v>
      </c>
      <c r="D123" s="339">
        <v>4579</v>
      </c>
      <c r="E123" s="406">
        <v>3855</v>
      </c>
      <c r="F123" s="406">
        <v>1394</v>
      </c>
      <c r="G123" s="406">
        <v>3500</v>
      </c>
      <c r="H123" s="406">
        <v>0</v>
      </c>
      <c r="I123" s="406">
        <v>14</v>
      </c>
      <c r="J123" s="406">
        <v>31</v>
      </c>
      <c r="K123" s="406">
        <v>52</v>
      </c>
      <c r="L123" s="408">
        <v>14</v>
      </c>
      <c r="M123" s="406">
        <v>82</v>
      </c>
      <c r="N123" s="408">
        <v>15</v>
      </c>
      <c r="O123" s="409">
        <v>15595</v>
      </c>
      <c r="P123" s="410">
        <v>345</v>
      </c>
      <c r="Q123" s="406">
        <v>15940</v>
      </c>
    </row>
    <row r="124" spans="1:17">
      <c r="A124" s="397">
        <v>117</v>
      </c>
      <c r="B124" s="398" t="s">
        <v>133</v>
      </c>
      <c r="C124" s="399">
        <v>36</v>
      </c>
      <c r="D124" s="399">
        <v>637</v>
      </c>
      <c r="E124" s="407">
        <v>758</v>
      </c>
      <c r="F124" s="399">
        <v>1</v>
      </c>
      <c r="G124" s="399">
        <v>0</v>
      </c>
      <c r="H124" s="399">
        <v>2</v>
      </c>
      <c r="I124" s="399">
        <v>1</v>
      </c>
      <c r="J124" s="399">
        <v>0</v>
      </c>
      <c r="K124" s="399">
        <v>0</v>
      </c>
      <c r="L124" s="400">
        <v>6</v>
      </c>
      <c r="M124" s="401">
        <v>0</v>
      </c>
      <c r="N124" s="400">
        <v>1</v>
      </c>
      <c r="O124" s="402">
        <v>1442</v>
      </c>
      <c r="P124" s="403">
        <v>46</v>
      </c>
      <c r="Q124" s="399">
        <v>1488</v>
      </c>
    </row>
    <row r="125" spans="1:17">
      <c r="A125" s="404">
        <v>118</v>
      </c>
      <c r="B125" s="405" t="s">
        <v>134</v>
      </c>
      <c r="C125" s="406">
        <v>1415</v>
      </c>
      <c r="D125" s="339">
        <v>2628</v>
      </c>
      <c r="E125" s="406">
        <v>458</v>
      </c>
      <c r="F125" s="406">
        <v>33</v>
      </c>
      <c r="G125" s="406">
        <v>3</v>
      </c>
      <c r="H125" s="406">
        <v>3</v>
      </c>
      <c r="I125" s="406">
        <v>2</v>
      </c>
      <c r="J125" s="406">
        <v>1</v>
      </c>
      <c r="K125" s="406">
        <v>27</v>
      </c>
      <c r="L125" s="408">
        <v>2</v>
      </c>
      <c r="M125" s="406">
        <v>0</v>
      </c>
      <c r="N125" s="408">
        <v>4</v>
      </c>
      <c r="O125" s="409">
        <v>4576</v>
      </c>
      <c r="P125" s="410">
        <v>232</v>
      </c>
      <c r="Q125" s="406">
        <v>4808</v>
      </c>
    </row>
    <row r="126" spans="1:17">
      <c r="A126" s="397">
        <v>119</v>
      </c>
      <c r="B126" s="398" t="s">
        <v>558</v>
      </c>
      <c r="C126" s="411">
        <v>18104</v>
      </c>
      <c r="D126" s="399">
        <v>15209</v>
      </c>
      <c r="E126" s="399">
        <v>3179</v>
      </c>
      <c r="F126" s="399">
        <v>1179</v>
      </c>
      <c r="G126" s="399">
        <v>345</v>
      </c>
      <c r="H126" s="399">
        <v>131</v>
      </c>
      <c r="I126" s="399">
        <v>63</v>
      </c>
      <c r="J126" s="399">
        <v>53</v>
      </c>
      <c r="K126" s="399">
        <v>117</v>
      </c>
      <c r="L126" s="400">
        <v>126</v>
      </c>
      <c r="M126" s="401">
        <v>166</v>
      </c>
      <c r="N126" s="400">
        <v>11</v>
      </c>
      <c r="O126" s="402">
        <v>38683</v>
      </c>
      <c r="P126" s="403">
        <v>1026</v>
      </c>
      <c r="Q126" s="399">
        <v>39709</v>
      </c>
    </row>
    <row r="127" spans="1:17">
      <c r="A127" s="404">
        <v>120</v>
      </c>
      <c r="B127" s="405" t="s">
        <v>135</v>
      </c>
      <c r="C127" s="406">
        <v>491</v>
      </c>
      <c r="D127" s="339">
        <v>2658</v>
      </c>
      <c r="E127" s="406">
        <v>1181</v>
      </c>
      <c r="F127" s="406">
        <v>17</v>
      </c>
      <c r="G127" s="406">
        <v>13</v>
      </c>
      <c r="H127" s="406">
        <v>5</v>
      </c>
      <c r="I127" s="406">
        <v>7</v>
      </c>
      <c r="J127" s="406">
        <v>5</v>
      </c>
      <c r="K127" s="406">
        <v>7</v>
      </c>
      <c r="L127" s="408">
        <v>38</v>
      </c>
      <c r="M127" s="406">
        <v>3</v>
      </c>
      <c r="N127" s="408">
        <v>1</v>
      </c>
      <c r="O127" s="409">
        <v>4426</v>
      </c>
      <c r="P127" s="410">
        <v>171</v>
      </c>
      <c r="Q127" s="406">
        <v>4597</v>
      </c>
    </row>
    <row r="128" spans="1:17">
      <c r="A128" s="397">
        <v>121</v>
      </c>
      <c r="B128" s="398" t="s">
        <v>136</v>
      </c>
      <c r="C128" s="399">
        <v>8197</v>
      </c>
      <c r="D128" s="339">
        <v>14161</v>
      </c>
      <c r="E128" s="399">
        <v>7275</v>
      </c>
      <c r="F128" s="399">
        <v>906</v>
      </c>
      <c r="G128" s="399">
        <v>519</v>
      </c>
      <c r="H128" s="399">
        <v>5</v>
      </c>
      <c r="I128" s="399">
        <v>233</v>
      </c>
      <c r="J128" s="399">
        <v>41</v>
      </c>
      <c r="K128" s="399">
        <v>4972</v>
      </c>
      <c r="L128" s="400">
        <v>57</v>
      </c>
      <c r="M128" s="401">
        <v>173</v>
      </c>
      <c r="N128" s="400">
        <v>6</v>
      </c>
      <c r="O128" s="402">
        <v>36545</v>
      </c>
      <c r="P128" s="403">
        <v>881</v>
      </c>
      <c r="Q128" s="399">
        <v>37426</v>
      </c>
    </row>
    <row r="129" spans="1:17">
      <c r="A129" s="404">
        <v>122</v>
      </c>
      <c r="B129" s="405" t="s">
        <v>666</v>
      </c>
      <c r="C129" s="406">
        <v>21399</v>
      </c>
      <c r="D129" s="339">
        <v>35698</v>
      </c>
      <c r="E129" s="406">
        <v>27537</v>
      </c>
      <c r="F129" s="406">
        <v>2835</v>
      </c>
      <c r="G129" s="406">
        <v>2455</v>
      </c>
      <c r="H129" s="406">
        <v>710</v>
      </c>
      <c r="I129" s="406">
        <v>819</v>
      </c>
      <c r="J129" s="406">
        <v>62</v>
      </c>
      <c r="K129" s="406">
        <v>883</v>
      </c>
      <c r="L129" s="408">
        <v>84</v>
      </c>
      <c r="M129" s="406">
        <v>1329</v>
      </c>
      <c r="N129" s="408">
        <v>30</v>
      </c>
      <c r="O129" s="409">
        <v>93841</v>
      </c>
      <c r="P129" s="410">
        <v>3203</v>
      </c>
      <c r="Q129" s="406">
        <v>97044</v>
      </c>
    </row>
    <row r="130" spans="1:17">
      <c r="A130" s="342" t="s">
        <v>559</v>
      </c>
    </row>
    <row r="131" spans="1:17">
      <c r="A131" s="343" t="s">
        <v>560</v>
      </c>
    </row>
  </sheetData>
  <pageMargins left="0.19685039370078741" right="0.19685039370078741" top="0.39370078740157483" bottom="0.19685039370078741" header="0" footer="0"/>
  <pageSetup scale="55" fitToHeight="3" orientation="landscape" horizontalDpi="72" verticalDpi="7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3"/>
  <sheetViews>
    <sheetView topLeftCell="A3" zoomScale="75" workbookViewId="0">
      <pane xSplit="2" ySplit="5" topLeftCell="C8" activePane="bottomRight" state="frozen"/>
      <selection activeCell="A3" sqref="A3"/>
      <selection pane="topRight" activeCell="C3" sqref="C3"/>
      <selection pane="bottomLeft" activeCell="A8" sqref="A8"/>
      <selection pane="bottomRight" activeCell="K31" sqref="K31"/>
    </sheetView>
  </sheetViews>
  <sheetFormatPr baseColWidth="10" defaultRowHeight="12.75"/>
  <cols>
    <col min="1" max="1" width="3.7109375" customWidth="1"/>
    <col min="2" max="2" width="25.85546875" customWidth="1"/>
    <col min="3" max="3" width="9.7109375" customWidth="1"/>
    <col min="4" max="4" width="7.7109375" customWidth="1"/>
    <col min="5" max="5" width="9.7109375" customWidth="1"/>
    <col min="6" max="6" width="7.7109375" customWidth="1"/>
    <col min="7" max="7" width="8.7109375" customWidth="1"/>
    <col min="8" max="8" width="7.7109375" customWidth="1"/>
    <col min="9" max="9" width="8.7109375" customWidth="1"/>
    <col min="10" max="10" width="7.7109375" customWidth="1"/>
    <col min="11" max="11" width="8.7109375" customWidth="1"/>
    <col min="12" max="12" width="7.7109375" customWidth="1"/>
    <col min="13" max="13" width="8.7109375" customWidth="1"/>
    <col min="14" max="14" width="7.7109375" customWidth="1"/>
    <col min="15" max="15" width="8.7109375" customWidth="1"/>
    <col min="16" max="16" width="7.7109375" customWidth="1"/>
    <col min="17" max="17" width="8.7109375" customWidth="1"/>
    <col min="18" max="18" width="7.7109375" customWidth="1"/>
    <col min="19" max="19" width="8.7109375" customWidth="1"/>
    <col min="20" max="20" width="7.7109375" customWidth="1"/>
    <col min="21" max="21" width="8.7109375" customWidth="1"/>
    <col min="22" max="22" width="7.7109375" customWidth="1"/>
    <col min="23" max="23" width="9.7109375" customWidth="1"/>
    <col min="24" max="24" width="13" customWidth="1"/>
    <col min="25" max="25" width="13.42578125" customWidth="1"/>
    <col min="26" max="26" width="13" customWidth="1"/>
    <col min="27" max="27" width="6" customWidth="1"/>
  </cols>
  <sheetData>
    <row r="1" spans="1:27" ht="15.75">
      <c r="A1" t="s">
        <v>0</v>
      </c>
      <c r="D1" s="344" t="s">
        <v>1</v>
      </c>
      <c r="W1" s="87"/>
      <c r="X1" s="87"/>
      <c r="Y1" s="87"/>
      <c r="Z1" s="87"/>
      <c r="AA1" s="87"/>
    </row>
    <row r="2" spans="1:27" ht="15">
      <c r="C2" s="345"/>
      <c r="D2" s="166" t="s">
        <v>561</v>
      </c>
      <c r="W2" s="87"/>
      <c r="X2" s="87"/>
      <c r="Y2" s="87"/>
      <c r="Z2" s="87"/>
      <c r="AA2" s="87"/>
    </row>
    <row r="3" spans="1:27" ht="15.75" customHeight="1">
      <c r="C3" s="67"/>
      <c r="D3" s="166" t="s">
        <v>562</v>
      </c>
      <c r="W3" s="346"/>
      <c r="X3" s="346"/>
      <c r="Y3" s="87"/>
      <c r="Z3" s="87"/>
      <c r="AA3" s="87"/>
    </row>
    <row r="4" spans="1:27" ht="15" customHeight="1">
      <c r="A4" s="347"/>
      <c r="B4" s="348"/>
      <c r="C4" s="349"/>
      <c r="D4" s="347"/>
      <c r="E4" s="347"/>
      <c r="F4" s="347"/>
      <c r="G4" s="350"/>
      <c r="H4" s="350"/>
      <c r="I4" s="350"/>
      <c r="J4" s="350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51"/>
      <c r="X4" s="351"/>
      <c r="Y4" s="351"/>
      <c r="Z4" s="351"/>
      <c r="AA4" s="351"/>
    </row>
    <row r="5" spans="1:27">
      <c r="A5" s="352" t="s">
        <v>197</v>
      </c>
      <c r="B5" s="353"/>
      <c r="C5" s="354" t="s">
        <v>7</v>
      </c>
      <c r="D5" s="355"/>
      <c r="E5" s="354" t="s">
        <v>563</v>
      </c>
      <c r="F5" s="355"/>
      <c r="G5" s="354" t="s">
        <v>10</v>
      </c>
      <c r="H5" s="355"/>
      <c r="I5" s="354" t="s">
        <v>11</v>
      </c>
      <c r="J5" s="355"/>
      <c r="K5" s="354" t="s">
        <v>199</v>
      </c>
      <c r="L5" s="355"/>
      <c r="M5" s="354" t="s">
        <v>564</v>
      </c>
      <c r="N5" s="355"/>
      <c r="O5" s="354" t="s">
        <v>565</v>
      </c>
      <c r="P5" s="355"/>
      <c r="Q5" s="354" t="s">
        <v>566</v>
      </c>
      <c r="R5" s="355"/>
      <c r="S5" s="354" t="s">
        <v>398</v>
      </c>
      <c r="T5" s="355"/>
      <c r="U5" s="356" t="s">
        <v>15</v>
      </c>
      <c r="V5" s="356"/>
      <c r="W5" s="357" t="s">
        <v>22</v>
      </c>
      <c r="X5" s="358" t="s">
        <v>567</v>
      </c>
      <c r="Y5" s="358" t="s">
        <v>568</v>
      </c>
      <c r="Z5" s="358" t="s">
        <v>567</v>
      </c>
      <c r="AA5" s="359"/>
    </row>
    <row r="6" spans="1:27" ht="13.5">
      <c r="A6" s="360"/>
      <c r="B6" s="361"/>
      <c r="C6" s="362" t="s">
        <v>20</v>
      </c>
      <c r="D6" s="363" t="s">
        <v>21</v>
      </c>
      <c r="E6" s="362" t="s">
        <v>20</v>
      </c>
      <c r="F6" s="363" t="s">
        <v>21</v>
      </c>
      <c r="G6" s="362" t="s">
        <v>20</v>
      </c>
      <c r="H6" s="363" t="s">
        <v>21</v>
      </c>
      <c r="I6" s="362" t="s">
        <v>20</v>
      </c>
      <c r="J6" s="363" t="s">
        <v>21</v>
      </c>
      <c r="K6" s="362" t="s">
        <v>20</v>
      </c>
      <c r="L6" s="363" t="s">
        <v>21</v>
      </c>
      <c r="M6" s="362" t="s">
        <v>20</v>
      </c>
      <c r="N6" s="363" t="s">
        <v>21</v>
      </c>
      <c r="O6" s="362" t="s">
        <v>20</v>
      </c>
      <c r="P6" s="363" t="s">
        <v>21</v>
      </c>
      <c r="Q6" s="362" t="s">
        <v>20</v>
      </c>
      <c r="R6" s="363" t="s">
        <v>21</v>
      </c>
      <c r="S6" s="362" t="s">
        <v>20</v>
      </c>
      <c r="T6" s="363" t="s">
        <v>21</v>
      </c>
      <c r="U6" s="362" t="s">
        <v>20</v>
      </c>
      <c r="V6" s="363" t="s">
        <v>21</v>
      </c>
      <c r="W6" s="364"/>
      <c r="X6" s="365" t="s">
        <v>569</v>
      </c>
      <c r="Y6" s="365" t="s">
        <v>570</v>
      </c>
      <c r="Z6" s="365" t="s">
        <v>570</v>
      </c>
      <c r="AA6" s="366"/>
    </row>
    <row r="7" spans="1:27">
      <c r="A7" s="523" t="s">
        <v>22</v>
      </c>
      <c r="B7" s="524"/>
      <c r="C7" s="367">
        <f>SUM(C8:C131)</f>
        <v>990187</v>
      </c>
      <c r="D7" s="368">
        <f>C7/$W$7</f>
        <v>0.28550013926315659</v>
      </c>
      <c r="E7" s="367">
        <f>SUM(E8:E131)</f>
        <v>1187596</v>
      </c>
      <c r="F7" s="368">
        <f>E7/$W$7</f>
        <v>0.3424189808474235</v>
      </c>
      <c r="G7" s="367">
        <f>SUM(G8:G131)</f>
        <v>834673</v>
      </c>
      <c r="H7" s="368">
        <f>G7/$W$7</f>
        <v>0.24066086278571291</v>
      </c>
      <c r="I7" s="367">
        <f>SUM(I8:I131)</f>
        <v>160759</v>
      </c>
      <c r="J7" s="368">
        <f>I7/$W$7</f>
        <v>4.6351564793120685E-2</v>
      </c>
      <c r="K7" s="367">
        <f>SUM(K8:K131)</f>
        <v>94787</v>
      </c>
      <c r="L7" s="368">
        <f>K7/$W$7</f>
        <v>2.7329889910023893E-2</v>
      </c>
      <c r="M7" s="367">
        <f>SUM(M8:M131)</f>
        <v>26774</v>
      </c>
      <c r="N7" s="368">
        <f>M7/$W$7</f>
        <v>7.7197344831145586E-3</v>
      </c>
      <c r="O7" s="367">
        <f>SUM(O8:O131)</f>
        <v>33513</v>
      </c>
      <c r="P7" s="368">
        <f>O7/$W$7</f>
        <v>9.6627870969081264E-3</v>
      </c>
      <c r="Q7" s="367">
        <f>SUM(Q8:Q131)</f>
        <v>35215</v>
      </c>
      <c r="R7" s="368">
        <f>Q7/$W$7</f>
        <v>1.015352393452152E-2</v>
      </c>
      <c r="S7" s="367">
        <f>SUM(S8:S131)</f>
        <v>5522</v>
      </c>
      <c r="T7" s="368">
        <f>S7/$W$7</f>
        <v>1.5921555918338162E-3</v>
      </c>
      <c r="U7" s="367">
        <f>SUM(U8:U131)</f>
        <v>99228</v>
      </c>
      <c r="V7" s="368">
        <f>U7/$W$7</f>
        <v>2.8610361294184337E-2</v>
      </c>
      <c r="W7" s="367">
        <f>SUM(W8:W131)</f>
        <v>3468254</v>
      </c>
      <c r="X7" s="369">
        <f>SUM(X8:X131)</f>
        <v>29503</v>
      </c>
      <c r="Y7" s="369">
        <f>SUM(Y8:Y131)</f>
        <v>2651</v>
      </c>
      <c r="Z7" s="369">
        <f>SUM(Z8:Z131)</f>
        <v>15039</v>
      </c>
      <c r="AA7" s="370"/>
    </row>
    <row r="8" spans="1:27">
      <c r="A8" s="371">
        <v>1</v>
      </c>
      <c r="B8" s="372" t="s">
        <v>25</v>
      </c>
      <c r="C8" s="373">
        <v>5981</v>
      </c>
      <c r="D8" s="374">
        <f t="shared" ref="D8:D71" si="0">C8/$W8</f>
        <v>0.33469501958589815</v>
      </c>
      <c r="E8" s="375">
        <v>7691</v>
      </c>
      <c r="F8" s="374">
        <f t="shared" ref="F8:F71" si="1">E8/$W8</f>
        <v>0.43038612199216564</v>
      </c>
      <c r="G8" s="375">
        <v>1078</v>
      </c>
      <c r="H8" s="374">
        <f t="shared" ref="H8:H71" si="2">G8/$W8</f>
        <v>6.0324566312255176E-2</v>
      </c>
      <c r="I8" s="375">
        <v>1889</v>
      </c>
      <c r="J8" s="374">
        <f t="shared" ref="J8:J71" si="3">I8/$W8</f>
        <v>0.10570789031897034</v>
      </c>
      <c r="K8" s="375">
        <v>33</v>
      </c>
      <c r="L8" s="374">
        <f t="shared" ref="L8:L71" si="4">K8/$W8</f>
        <v>1.846670397313934E-3</v>
      </c>
      <c r="M8" s="375">
        <v>63</v>
      </c>
      <c r="N8" s="374">
        <f t="shared" ref="N8:N71" si="5">M8/$W8</f>
        <v>3.5254616675993284E-3</v>
      </c>
      <c r="O8" s="375">
        <v>66</v>
      </c>
      <c r="P8" s="374">
        <f t="shared" ref="P8:P71" si="6">O8/W8</f>
        <v>3.6933407946278681E-3</v>
      </c>
      <c r="Q8" s="375">
        <v>1</v>
      </c>
      <c r="R8" s="374">
        <f t="shared" ref="R8:R71" si="7">Q8/$W8</f>
        <v>5.5959709009513153E-5</v>
      </c>
      <c r="S8" s="375">
        <v>9</v>
      </c>
      <c r="T8" s="374">
        <f t="shared" ref="T8:T71" si="8">S8/$W8</f>
        <v>5.0363738108561839E-4</v>
      </c>
      <c r="U8" s="375">
        <v>1059</v>
      </c>
      <c r="V8" s="374">
        <f t="shared" ref="V8:V71" si="9">U8/$W8</f>
        <v>5.9261331841074426E-2</v>
      </c>
      <c r="W8" s="376">
        <f>C8+E8+G8+I8+K8+M8+O8+Q8+S8+U8</f>
        <v>17870</v>
      </c>
      <c r="X8" s="377">
        <v>0</v>
      </c>
      <c r="Y8" s="377">
        <v>0</v>
      </c>
      <c r="Z8" s="377">
        <v>0</v>
      </c>
      <c r="AA8" s="378"/>
    </row>
    <row r="9" spans="1:27">
      <c r="A9" s="379">
        <v>2</v>
      </c>
      <c r="B9" s="380" t="s">
        <v>27</v>
      </c>
      <c r="C9" s="381">
        <v>3916</v>
      </c>
      <c r="D9" s="382">
        <f t="shared" si="0"/>
        <v>0.2037991152745251</v>
      </c>
      <c r="E9" s="383">
        <v>3971</v>
      </c>
      <c r="F9" s="382">
        <f t="shared" si="1"/>
        <v>0.20666146239916733</v>
      </c>
      <c r="G9" s="383">
        <v>7845</v>
      </c>
      <c r="H9" s="382">
        <f t="shared" si="2"/>
        <v>0.40827478532396566</v>
      </c>
      <c r="I9" s="383">
        <v>499</v>
      </c>
      <c r="J9" s="382">
        <f t="shared" si="3"/>
        <v>2.5969294821753839E-2</v>
      </c>
      <c r="K9" s="383">
        <v>252</v>
      </c>
      <c r="L9" s="382">
        <f t="shared" si="4"/>
        <v>1.3114754098360656E-2</v>
      </c>
      <c r="M9" s="383">
        <v>0</v>
      </c>
      <c r="N9" s="382">
        <f t="shared" si="5"/>
        <v>0</v>
      </c>
      <c r="O9" s="383">
        <v>0</v>
      </c>
      <c r="P9" s="382">
        <f t="shared" si="6"/>
        <v>0</v>
      </c>
      <c r="Q9" s="383">
        <v>2221</v>
      </c>
      <c r="R9" s="382">
        <f t="shared" si="7"/>
        <v>0.11558678116055165</v>
      </c>
      <c r="S9" s="383">
        <v>6</v>
      </c>
      <c r="T9" s="382">
        <f t="shared" si="8"/>
        <v>3.1225604996096799E-4</v>
      </c>
      <c r="U9" s="383">
        <v>505</v>
      </c>
      <c r="V9" s="382">
        <f t="shared" si="9"/>
        <v>2.6281550871714805E-2</v>
      </c>
      <c r="W9" s="384">
        <f t="shared" ref="W9:W72" si="10">C9+E9+G9+I9+K9+M9+O9+Q9+S9+U9</f>
        <v>19215</v>
      </c>
      <c r="X9" s="385">
        <v>0</v>
      </c>
      <c r="Y9" s="385">
        <v>0</v>
      </c>
      <c r="Z9" s="385">
        <v>0</v>
      </c>
      <c r="AA9" s="378"/>
    </row>
    <row r="10" spans="1:27">
      <c r="A10" s="379">
        <v>3</v>
      </c>
      <c r="B10" s="380" t="s">
        <v>571</v>
      </c>
      <c r="C10" s="381">
        <v>4625</v>
      </c>
      <c r="D10" s="382">
        <f t="shared" si="0"/>
        <v>0.35410764872521244</v>
      </c>
      <c r="E10" s="383">
        <v>6514</v>
      </c>
      <c r="F10" s="382">
        <f t="shared" si="1"/>
        <v>0.49873669703698031</v>
      </c>
      <c r="G10" s="383">
        <v>1193</v>
      </c>
      <c r="H10" s="382">
        <f t="shared" si="2"/>
        <v>9.1340632417119663E-2</v>
      </c>
      <c r="I10" s="383">
        <v>101</v>
      </c>
      <c r="J10" s="382">
        <f t="shared" si="3"/>
        <v>7.732945409999234E-3</v>
      </c>
      <c r="K10" s="383">
        <v>0</v>
      </c>
      <c r="L10" s="382">
        <f t="shared" si="4"/>
        <v>0</v>
      </c>
      <c r="M10" s="383">
        <v>124</v>
      </c>
      <c r="N10" s="382">
        <f t="shared" si="5"/>
        <v>9.4939131766327237E-3</v>
      </c>
      <c r="O10" s="383">
        <v>0</v>
      </c>
      <c r="P10" s="382">
        <f t="shared" si="6"/>
        <v>0</v>
      </c>
      <c r="Q10" s="383">
        <v>24</v>
      </c>
      <c r="R10" s="382">
        <f t="shared" si="7"/>
        <v>1.8375315825740755E-3</v>
      </c>
      <c r="S10" s="383">
        <v>3</v>
      </c>
      <c r="T10" s="382">
        <f t="shared" si="8"/>
        <v>2.2969144782175943E-4</v>
      </c>
      <c r="U10" s="383">
        <v>477</v>
      </c>
      <c r="V10" s="382">
        <f t="shared" si="9"/>
        <v>3.6520940203659751E-2</v>
      </c>
      <c r="W10" s="384">
        <f t="shared" si="10"/>
        <v>13061</v>
      </c>
      <c r="X10" s="385">
        <v>0</v>
      </c>
      <c r="Y10" s="385">
        <v>0</v>
      </c>
      <c r="Z10" s="385">
        <v>0</v>
      </c>
      <c r="AA10" s="378"/>
    </row>
    <row r="11" spans="1:27">
      <c r="A11" s="379">
        <v>4</v>
      </c>
      <c r="B11" s="380" t="s">
        <v>29</v>
      </c>
      <c r="C11" s="381">
        <v>531</v>
      </c>
      <c r="D11" s="382">
        <f t="shared" si="0"/>
        <v>9.786214522668632E-2</v>
      </c>
      <c r="E11" s="383">
        <v>2967</v>
      </c>
      <c r="F11" s="382">
        <f t="shared" si="1"/>
        <v>0.54681164762255807</v>
      </c>
      <c r="G11" s="383">
        <v>1718</v>
      </c>
      <c r="H11" s="382">
        <f t="shared" si="2"/>
        <v>0.31662366384076668</v>
      </c>
      <c r="I11" s="383">
        <v>44</v>
      </c>
      <c r="J11" s="382">
        <f t="shared" si="3"/>
        <v>8.1091043125691119E-3</v>
      </c>
      <c r="K11" s="383">
        <v>0</v>
      </c>
      <c r="L11" s="382">
        <f t="shared" si="4"/>
        <v>0</v>
      </c>
      <c r="M11" s="383">
        <v>15</v>
      </c>
      <c r="N11" s="382">
        <f t="shared" si="5"/>
        <v>2.7644673792849243E-3</v>
      </c>
      <c r="O11" s="383">
        <v>20</v>
      </c>
      <c r="P11" s="382">
        <f t="shared" si="6"/>
        <v>3.6859565057132328E-3</v>
      </c>
      <c r="Q11" s="383">
        <v>0</v>
      </c>
      <c r="R11" s="382">
        <f t="shared" si="7"/>
        <v>0</v>
      </c>
      <c r="S11" s="383">
        <v>1</v>
      </c>
      <c r="T11" s="382">
        <f t="shared" si="8"/>
        <v>1.8429782528566163E-4</v>
      </c>
      <c r="U11" s="383">
        <v>130</v>
      </c>
      <c r="V11" s="382">
        <f t="shared" si="9"/>
        <v>2.395871728713601E-2</v>
      </c>
      <c r="W11" s="384">
        <f t="shared" si="10"/>
        <v>5426</v>
      </c>
      <c r="X11" s="385">
        <v>0</v>
      </c>
      <c r="Y11" s="385">
        <v>0</v>
      </c>
      <c r="Z11" s="385">
        <v>0</v>
      </c>
      <c r="AA11" s="378"/>
    </row>
    <row r="12" spans="1:27">
      <c r="A12" s="379">
        <v>5</v>
      </c>
      <c r="B12" s="380" t="s">
        <v>31</v>
      </c>
      <c r="C12" s="381">
        <v>3736</v>
      </c>
      <c r="D12" s="382">
        <f t="shared" si="0"/>
        <v>0.1069322800389261</v>
      </c>
      <c r="E12" s="383">
        <v>13465</v>
      </c>
      <c r="F12" s="382">
        <f t="shared" si="1"/>
        <v>0.38539698895185759</v>
      </c>
      <c r="G12" s="383">
        <v>9438</v>
      </c>
      <c r="H12" s="382">
        <f t="shared" si="2"/>
        <v>0.27013566889919288</v>
      </c>
      <c r="I12" s="383">
        <v>6281</v>
      </c>
      <c r="J12" s="382">
        <f t="shared" si="3"/>
        <v>0.17977560249584978</v>
      </c>
      <c r="K12" s="383">
        <v>137</v>
      </c>
      <c r="L12" s="382">
        <f t="shared" si="4"/>
        <v>3.9212318965023757E-3</v>
      </c>
      <c r="M12" s="383">
        <v>221</v>
      </c>
      <c r="N12" s="382">
        <f t="shared" si="5"/>
        <v>6.3254908695403282E-3</v>
      </c>
      <c r="O12" s="383">
        <v>0</v>
      </c>
      <c r="P12" s="382">
        <f t="shared" si="6"/>
        <v>0</v>
      </c>
      <c r="Q12" s="383">
        <v>186</v>
      </c>
      <c r="R12" s="382">
        <f t="shared" si="7"/>
        <v>5.3237162974411811E-3</v>
      </c>
      <c r="S12" s="383">
        <v>7</v>
      </c>
      <c r="T12" s="382">
        <f t="shared" si="8"/>
        <v>2.0035491441982941E-4</v>
      </c>
      <c r="U12" s="383">
        <v>1467</v>
      </c>
      <c r="V12" s="382">
        <f t="shared" si="9"/>
        <v>4.1988665636269962E-2</v>
      </c>
      <c r="W12" s="384">
        <f t="shared" si="10"/>
        <v>34938</v>
      </c>
      <c r="X12" s="385">
        <v>0</v>
      </c>
      <c r="Y12" s="385">
        <v>0</v>
      </c>
      <c r="Z12" s="385">
        <v>0</v>
      </c>
      <c r="AA12" s="378"/>
    </row>
    <row r="13" spans="1:27">
      <c r="A13" s="379">
        <v>6</v>
      </c>
      <c r="B13" s="380" t="s">
        <v>572</v>
      </c>
      <c r="C13" s="381">
        <v>1231</v>
      </c>
      <c r="D13" s="382">
        <f t="shared" si="0"/>
        <v>0.34656531531531531</v>
      </c>
      <c r="E13" s="383">
        <v>1351</v>
      </c>
      <c r="F13" s="382">
        <f t="shared" si="1"/>
        <v>0.38034909909909909</v>
      </c>
      <c r="G13" s="383">
        <v>474</v>
      </c>
      <c r="H13" s="382">
        <f t="shared" si="2"/>
        <v>0.13344594594594594</v>
      </c>
      <c r="I13" s="383">
        <v>340</v>
      </c>
      <c r="J13" s="382">
        <f t="shared" si="3"/>
        <v>9.5720720720720714E-2</v>
      </c>
      <c r="K13" s="383">
        <v>54</v>
      </c>
      <c r="L13" s="382">
        <f t="shared" si="4"/>
        <v>1.5202702702702704E-2</v>
      </c>
      <c r="M13" s="383">
        <v>9</v>
      </c>
      <c r="N13" s="382">
        <f t="shared" si="5"/>
        <v>2.5337837837837839E-3</v>
      </c>
      <c r="O13" s="383">
        <v>0</v>
      </c>
      <c r="P13" s="382">
        <f t="shared" si="6"/>
        <v>0</v>
      </c>
      <c r="Q13" s="383">
        <v>2</v>
      </c>
      <c r="R13" s="382">
        <f t="shared" si="7"/>
        <v>5.6306306306306306E-4</v>
      </c>
      <c r="S13" s="383">
        <v>0</v>
      </c>
      <c r="T13" s="382">
        <f t="shared" si="8"/>
        <v>0</v>
      </c>
      <c r="U13" s="383">
        <v>91</v>
      </c>
      <c r="V13" s="382">
        <f t="shared" si="9"/>
        <v>2.5619369369369368E-2</v>
      </c>
      <c r="W13" s="384">
        <f t="shared" si="10"/>
        <v>3552</v>
      </c>
      <c r="X13" s="385">
        <v>0</v>
      </c>
      <c r="Y13" s="385">
        <v>0</v>
      </c>
      <c r="Z13" s="385">
        <v>0</v>
      </c>
      <c r="AA13" s="378"/>
    </row>
    <row r="14" spans="1:27">
      <c r="A14" s="379">
        <v>7</v>
      </c>
      <c r="B14" s="380" t="s">
        <v>33</v>
      </c>
      <c r="C14" s="381">
        <v>1115</v>
      </c>
      <c r="D14" s="382">
        <f t="shared" si="0"/>
        <v>0.15313830517786017</v>
      </c>
      <c r="E14" s="383">
        <v>3020</v>
      </c>
      <c r="F14" s="382">
        <f t="shared" si="1"/>
        <v>0.41477818980909215</v>
      </c>
      <c r="G14" s="383">
        <v>2655</v>
      </c>
      <c r="H14" s="382">
        <f t="shared" si="2"/>
        <v>0.36464771322620521</v>
      </c>
      <c r="I14" s="383">
        <v>125</v>
      </c>
      <c r="J14" s="382">
        <f t="shared" si="3"/>
        <v>1.7167971432495537E-2</v>
      </c>
      <c r="K14" s="383">
        <v>0</v>
      </c>
      <c r="L14" s="382">
        <f t="shared" si="4"/>
        <v>0</v>
      </c>
      <c r="M14" s="383">
        <v>16</v>
      </c>
      <c r="N14" s="382">
        <f t="shared" si="5"/>
        <v>2.1975003433594288E-3</v>
      </c>
      <c r="O14" s="383">
        <v>0</v>
      </c>
      <c r="P14" s="382">
        <f t="shared" si="6"/>
        <v>0</v>
      </c>
      <c r="Q14" s="383">
        <v>0</v>
      </c>
      <c r="R14" s="382">
        <f t="shared" si="7"/>
        <v>0</v>
      </c>
      <c r="S14" s="383">
        <v>9</v>
      </c>
      <c r="T14" s="382">
        <f t="shared" si="8"/>
        <v>1.2360939431396785E-3</v>
      </c>
      <c r="U14" s="383">
        <v>341</v>
      </c>
      <c r="V14" s="382">
        <f t="shared" si="9"/>
        <v>4.6834226067847824E-2</v>
      </c>
      <c r="W14" s="384">
        <f t="shared" si="10"/>
        <v>7281</v>
      </c>
      <c r="X14" s="385">
        <v>0</v>
      </c>
      <c r="Y14" s="385">
        <v>0</v>
      </c>
      <c r="Z14" s="385">
        <v>0</v>
      </c>
      <c r="AA14" s="378"/>
    </row>
    <row r="15" spans="1:27" ht="15">
      <c r="A15" s="379">
        <v>8</v>
      </c>
      <c r="B15" s="380" t="s">
        <v>573</v>
      </c>
      <c r="C15" s="381">
        <f>418-'[4]Cas anuladas TEEM'!E8</f>
        <v>389</v>
      </c>
      <c r="D15" s="382">
        <f t="shared" si="0"/>
        <v>3.5658630488587403E-2</v>
      </c>
      <c r="E15" s="383">
        <f>5098-'[4]Cas anuladas TEEM'!F8</f>
        <v>4932</v>
      </c>
      <c r="F15" s="382">
        <f t="shared" si="1"/>
        <v>0.45210376753139608</v>
      </c>
      <c r="G15" s="383">
        <f>5243-'[4]Cas anuladas TEEM'!G8</f>
        <v>5062</v>
      </c>
      <c r="H15" s="382">
        <f t="shared" si="2"/>
        <v>0.46402053350444589</v>
      </c>
      <c r="I15" s="383">
        <f>111-'[4]Cas anuladas TEEM'!H8</f>
        <v>111</v>
      </c>
      <c r="J15" s="382">
        <f t="shared" si="3"/>
        <v>1.017508479237327E-2</v>
      </c>
      <c r="K15" s="383">
        <f>2-'[4]Cas anuladas TEEM'!I8</f>
        <v>2</v>
      </c>
      <c r="L15" s="382">
        <f t="shared" si="4"/>
        <v>1.833348611238427E-4</v>
      </c>
      <c r="M15" s="383">
        <f>25-'[4]Cas anuladas TEEM'!J8</f>
        <v>24</v>
      </c>
      <c r="N15" s="382">
        <f t="shared" si="5"/>
        <v>2.2000183334861122E-3</v>
      </c>
      <c r="O15" s="383">
        <f>63-'[4]Cas anuladas TEEM'!K8</f>
        <v>59</v>
      </c>
      <c r="P15" s="382">
        <f t="shared" si="6"/>
        <v>5.4083784031533598E-3</v>
      </c>
      <c r="Q15" s="383">
        <f>3-'[4]Cas anuladas TEEM'!L8</f>
        <v>3</v>
      </c>
      <c r="R15" s="382">
        <f t="shared" si="7"/>
        <v>2.7500229168576402E-4</v>
      </c>
      <c r="S15" s="383">
        <f>14-'[4]Cas anuladas TEEM'!M8</f>
        <v>14</v>
      </c>
      <c r="T15" s="382">
        <f t="shared" si="8"/>
        <v>1.283344027866899E-3</v>
      </c>
      <c r="U15" s="383">
        <f>328-'[4]Cas anuladas TEEM'!N8</f>
        <v>313</v>
      </c>
      <c r="V15" s="382">
        <f t="shared" si="9"/>
        <v>2.8691905765881383E-2</v>
      </c>
      <c r="W15" s="384">
        <f t="shared" si="10"/>
        <v>10909</v>
      </c>
      <c r="X15" s="385">
        <f>'[4]Cas anuladas TEEM'!O8</f>
        <v>396</v>
      </c>
      <c r="Y15" s="385">
        <v>0</v>
      </c>
      <c r="Z15" s="385">
        <v>0</v>
      </c>
      <c r="AA15" s="378"/>
    </row>
    <row r="16" spans="1:27">
      <c r="A16" s="379">
        <v>9</v>
      </c>
      <c r="B16" s="380" t="s">
        <v>36</v>
      </c>
      <c r="C16" s="381">
        <v>5777</v>
      </c>
      <c r="D16" s="382">
        <f t="shared" si="0"/>
        <v>0.36438753626844961</v>
      </c>
      <c r="E16" s="383">
        <v>3795</v>
      </c>
      <c r="F16" s="382">
        <f t="shared" si="1"/>
        <v>0.23937176737731802</v>
      </c>
      <c r="G16" s="383">
        <v>4316</v>
      </c>
      <c r="H16" s="382">
        <f t="shared" si="2"/>
        <v>0.27223413649552164</v>
      </c>
      <c r="I16" s="383">
        <v>777</v>
      </c>
      <c r="J16" s="382">
        <f t="shared" si="3"/>
        <v>4.9009713636937048E-2</v>
      </c>
      <c r="K16" s="383">
        <v>479</v>
      </c>
      <c r="L16" s="382">
        <f t="shared" si="4"/>
        <v>3.0213195408098904E-2</v>
      </c>
      <c r="M16" s="383">
        <v>43</v>
      </c>
      <c r="N16" s="382">
        <f t="shared" si="5"/>
        <v>2.7122492746310079E-3</v>
      </c>
      <c r="O16" s="383">
        <v>61</v>
      </c>
      <c r="P16" s="382">
        <f t="shared" si="6"/>
        <v>3.847609436104453E-3</v>
      </c>
      <c r="Q16" s="383">
        <v>63</v>
      </c>
      <c r="R16" s="382">
        <f t="shared" si="7"/>
        <v>3.9737605651570581E-3</v>
      </c>
      <c r="S16" s="383">
        <v>1</v>
      </c>
      <c r="T16" s="382">
        <f t="shared" si="8"/>
        <v>6.307556452630251E-5</v>
      </c>
      <c r="U16" s="383">
        <v>542</v>
      </c>
      <c r="V16" s="382">
        <f t="shared" si="9"/>
        <v>3.418695597325596E-2</v>
      </c>
      <c r="W16" s="384">
        <f t="shared" si="10"/>
        <v>15854</v>
      </c>
      <c r="X16" s="385">
        <v>0</v>
      </c>
      <c r="Y16" s="385">
        <v>0</v>
      </c>
      <c r="Z16" s="385">
        <v>0</v>
      </c>
      <c r="AA16" s="378"/>
    </row>
    <row r="17" spans="1:27">
      <c r="A17" s="379">
        <v>10</v>
      </c>
      <c r="B17" s="380" t="s">
        <v>37</v>
      </c>
      <c r="C17" s="381">
        <v>2323</v>
      </c>
      <c r="D17" s="382">
        <f t="shared" si="0"/>
        <v>0.28799900818249441</v>
      </c>
      <c r="E17" s="383">
        <v>3246</v>
      </c>
      <c r="F17" s="382">
        <f t="shared" si="1"/>
        <v>0.40242995288866851</v>
      </c>
      <c r="G17" s="383">
        <v>1917</v>
      </c>
      <c r="H17" s="382">
        <f t="shared" si="2"/>
        <v>0.23766426977436153</v>
      </c>
      <c r="I17" s="383">
        <v>37</v>
      </c>
      <c r="J17" s="382">
        <f t="shared" si="3"/>
        <v>4.5871559633027525E-3</v>
      </c>
      <c r="K17" s="383">
        <v>0</v>
      </c>
      <c r="L17" s="382">
        <f t="shared" si="4"/>
        <v>0</v>
      </c>
      <c r="M17" s="383">
        <v>0</v>
      </c>
      <c r="N17" s="382">
        <f t="shared" si="5"/>
        <v>0</v>
      </c>
      <c r="O17" s="383">
        <v>346</v>
      </c>
      <c r="P17" s="382">
        <f t="shared" si="6"/>
        <v>4.2896107116290605E-2</v>
      </c>
      <c r="Q17" s="383">
        <v>77</v>
      </c>
      <c r="R17" s="382">
        <f t="shared" si="7"/>
        <v>9.5462434911976202E-3</v>
      </c>
      <c r="S17" s="383">
        <v>0</v>
      </c>
      <c r="T17" s="382">
        <f t="shared" si="8"/>
        <v>0</v>
      </c>
      <c r="U17" s="383">
        <v>120</v>
      </c>
      <c r="V17" s="382">
        <f t="shared" si="9"/>
        <v>1.4877262583684603E-2</v>
      </c>
      <c r="W17" s="384">
        <f t="shared" si="10"/>
        <v>8066</v>
      </c>
      <c r="X17" s="385">
        <v>0</v>
      </c>
      <c r="Y17" s="385">
        <v>0</v>
      </c>
      <c r="Z17" s="385">
        <v>0</v>
      </c>
      <c r="AA17" s="378"/>
    </row>
    <row r="18" spans="1:27" ht="15.75">
      <c r="A18" s="379">
        <v>11</v>
      </c>
      <c r="B18" s="386" t="s">
        <v>574</v>
      </c>
      <c r="C18" s="381">
        <f>337-'[4]Cas anuladas TEEM'!E21</f>
        <v>315</v>
      </c>
      <c r="D18" s="382">
        <f t="shared" si="0"/>
        <v>7.4875207986688855E-2</v>
      </c>
      <c r="E18" s="383">
        <f>2816-'[4]Cas anuladas TEEM'!F21</f>
        <v>2719</v>
      </c>
      <c r="F18" s="382">
        <f t="shared" si="1"/>
        <v>0.64630377941526029</v>
      </c>
      <c r="G18" s="383">
        <f>826-'[4]Cas anuladas TEEM'!G21</f>
        <v>795</v>
      </c>
      <c r="H18" s="382">
        <f t="shared" si="2"/>
        <v>0.18897076301402424</v>
      </c>
      <c r="I18" s="383">
        <f>149-'[4]Cas anuladas TEEM'!H21</f>
        <v>145</v>
      </c>
      <c r="J18" s="382">
        <f t="shared" si="3"/>
        <v>3.4466365581174233E-2</v>
      </c>
      <c r="K18" s="383">
        <f>0-'[4]Cas anuladas TEEM'!I21</f>
        <v>0</v>
      </c>
      <c r="L18" s="382">
        <f t="shared" si="4"/>
        <v>0</v>
      </c>
      <c r="M18" s="383">
        <f>0-'[4]Cas anuladas TEEM'!J21</f>
        <v>0</v>
      </c>
      <c r="N18" s="382">
        <f t="shared" si="5"/>
        <v>0</v>
      </c>
      <c r="O18" s="383">
        <f>114-'[4]Cas anuladas TEEM'!K21</f>
        <v>112</v>
      </c>
      <c r="P18" s="382">
        <f t="shared" si="6"/>
        <v>2.6622296173044926E-2</v>
      </c>
      <c r="Q18" s="383">
        <f>0-'[4]Cas anuladas TEEM'!L21</f>
        <v>0</v>
      </c>
      <c r="R18" s="382">
        <f t="shared" si="7"/>
        <v>0</v>
      </c>
      <c r="S18" s="383">
        <f>1-'[4]Cas anuladas TEEM'!M21</f>
        <v>1</v>
      </c>
      <c r="T18" s="382">
        <f t="shared" si="8"/>
        <v>2.3769907297361539E-4</v>
      </c>
      <c r="U18" s="383">
        <f>122-'[4]Cas anuladas TEEM'!N21</f>
        <v>120</v>
      </c>
      <c r="V18" s="382">
        <f t="shared" si="9"/>
        <v>2.852388875683385E-2</v>
      </c>
      <c r="W18" s="384">
        <f t="shared" si="10"/>
        <v>4207</v>
      </c>
      <c r="X18" s="385">
        <f>'[4]Cas anuladas TEEM'!O21</f>
        <v>158</v>
      </c>
      <c r="Y18" s="385">
        <v>0</v>
      </c>
      <c r="Z18" s="385">
        <v>0</v>
      </c>
      <c r="AA18" s="378"/>
    </row>
    <row r="19" spans="1:27">
      <c r="A19" s="379">
        <v>12</v>
      </c>
      <c r="B19" s="380" t="s">
        <v>575</v>
      </c>
      <c r="C19" s="381">
        <v>632</v>
      </c>
      <c r="D19" s="382">
        <f t="shared" si="0"/>
        <v>0.22237860661505982</v>
      </c>
      <c r="E19" s="383">
        <v>648</v>
      </c>
      <c r="F19" s="382">
        <f t="shared" si="1"/>
        <v>0.22800844475721324</v>
      </c>
      <c r="G19" s="383">
        <v>400</v>
      </c>
      <c r="H19" s="382">
        <f t="shared" si="2"/>
        <v>0.14074595355383532</v>
      </c>
      <c r="I19" s="383">
        <v>1079</v>
      </c>
      <c r="J19" s="382">
        <f t="shared" si="3"/>
        <v>0.3796622097114708</v>
      </c>
      <c r="K19" s="383">
        <v>0</v>
      </c>
      <c r="L19" s="382">
        <f t="shared" si="4"/>
        <v>0</v>
      </c>
      <c r="M19" s="383">
        <v>9</v>
      </c>
      <c r="N19" s="382">
        <f t="shared" si="5"/>
        <v>3.1667839549612948E-3</v>
      </c>
      <c r="O19" s="383">
        <v>0</v>
      </c>
      <c r="P19" s="382">
        <f t="shared" si="6"/>
        <v>0</v>
      </c>
      <c r="Q19" s="383">
        <v>0</v>
      </c>
      <c r="R19" s="382">
        <f t="shared" si="7"/>
        <v>0</v>
      </c>
      <c r="S19" s="383">
        <v>1</v>
      </c>
      <c r="T19" s="382">
        <f t="shared" si="8"/>
        <v>3.5186488388458831E-4</v>
      </c>
      <c r="U19" s="383">
        <v>73</v>
      </c>
      <c r="V19" s="382">
        <f t="shared" si="9"/>
        <v>2.5686136523574946E-2</v>
      </c>
      <c r="W19" s="384">
        <f t="shared" si="10"/>
        <v>2842</v>
      </c>
      <c r="X19" s="385">
        <v>0</v>
      </c>
      <c r="Y19" s="385">
        <v>0</v>
      </c>
      <c r="Z19" s="385">
        <v>0</v>
      </c>
      <c r="AA19" s="378"/>
    </row>
    <row r="20" spans="1:27">
      <c r="A20" s="379">
        <v>13</v>
      </c>
      <c r="B20" s="380" t="s">
        <v>40</v>
      </c>
      <c r="C20" s="381">
        <v>50261</v>
      </c>
      <c r="D20" s="382">
        <f t="shared" si="0"/>
        <v>0.4388303909756055</v>
      </c>
      <c r="E20" s="383">
        <v>35221</v>
      </c>
      <c r="F20" s="382">
        <f t="shared" si="1"/>
        <v>0.30751567220214082</v>
      </c>
      <c r="G20" s="383">
        <v>18436</v>
      </c>
      <c r="H20" s="382">
        <f t="shared" si="2"/>
        <v>0.16096530287949429</v>
      </c>
      <c r="I20" s="383">
        <v>1465</v>
      </c>
      <c r="J20" s="382">
        <f t="shared" si="3"/>
        <v>1.2790961635846124E-2</v>
      </c>
      <c r="K20" s="383">
        <v>1897</v>
      </c>
      <c r="L20" s="382">
        <f t="shared" si="4"/>
        <v>1.6562767387849897E-2</v>
      </c>
      <c r="M20" s="383">
        <v>436</v>
      </c>
      <c r="N20" s="382">
        <f t="shared" si="5"/>
        <v>3.80672987933714E-3</v>
      </c>
      <c r="O20" s="383">
        <v>2955</v>
      </c>
      <c r="P20" s="382">
        <f t="shared" si="6"/>
        <v>2.58001990675258E-2</v>
      </c>
      <c r="Q20" s="383">
        <v>638</v>
      </c>
      <c r="R20" s="382">
        <f t="shared" si="7"/>
        <v>5.5703983096722373E-3</v>
      </c>
      <c r="S20" s="383">
        <v>211</v>
      </c>
      <c r="T20" s="382">
        <f t="shared" si="8"/>
        <v>1.8422477168351756E-3</v>
      </c>
      <c r="U20" s="383">
        <v>3014</v>
      </c>
      <c r="V20" s="382">
        <f t="shared" si="9"/>
        <v>2.6315329945692981E-2</v>
      </c>
      <c r="W20" s="384">
        <f t="shared" si="10"/>
        <v>114534</v>
      </c>
      <c r="X20" s="385">
        <v>0</v>
      </c>
      <c r="Y20" s="385">
        <v>0</v>
      </c>
      <c r="Z20" s="385">
        <v>0</v>
      </c>
      <c r="AA20" s="378"/>
    </row>
    <row r="21" spans="1:27">
      <c r="A21" s="379">
        <v>14</v>
      </c>
      <c r="B21" s="380" t="s">
        <v>41</v>
      </c>
      <c r="C21" s="381">
        <v>7202</v>
      </c>
      <c r="D21" s="382">
        <f t="shared" si="0"/>
        <v>0.32143175935017404</v>
      </c>
      <c r="E21" s="383">
        <v>12689</v>
      </c>
      <c r="F21" s="382">
        <f t="shared" si="1"/>
        <v>0.56632152102115507</v>
      </c>
      <c r="G21" s="383">
        <v>1183</v>
      </c>
      <c r="H21" s="382">
        <f t="shared" si="2"/>
        <v>5.2798357582790327E-2</v>
      </c>
      <c r="I21" s="383">
        <v>188</v>
      </c>
      <c r="J21" s="382">
        <f t="shared" si="3"/>
        <v>8.3906096581272873E-3</v>
      </c>
      <c r="K21" s="383">
        <v>117</v>
      </c>
      <c r="L21" s="382">
        <f t="shared" si="4"/>
        <v>5.2218155851111309E-3</v>
      </c>
      <c r="M21" s="383">
        <v>63</v>
      </c>
      <c r="N21" s="382">
        <f t="shared" si="5"/>
        <v>2.8117468535213781E-3</v>
      </c>
      <c r="O21" s="383">
        <v>69</v>
      </c>
      <c r="P21" s="382">
        <f t="shared" si="6"/>
        <v>3.0795322681424616E-3</v>
      </c>
      <c r="Q21" s="383">
        <v>131</v>
      </c>
      <c r="R21" s="382">
        <f t="shared" si="7"/>
        <v>5.8466482192269928E-3</v>
      </c>
      <c r="S21" s="383">
        <v>1</v>
      </c>
      <c r="T21" s="382">
        <f t="shared" si="8"/>
        <v>4.4630902436847273E-5</v>
      </c>
      <c r="U21" s="383">
        <v>763</v>
      </c>
      <c r="V21" s="382">
        <f t="shared" si="9"/>
        <v>3.4053378559314472E-2</v>
      </c>
      <c r="W21" s="384">
        <f t="shared" si="10"/>
        <v>22406</v>
      </c>
      <c r="X21" s="385">
        <v>0</v>
      </c>
      <c r="Y21" s="385">
        <v>0</v>
      </c>
      <c r="Z21" s="385">
        <v>0</v>
      </c>
      <c r="AA21" s="378"/>
    </row>
    <row r="22" spans="1:27" ht="15.75">
      <c r="A22" s="379">
        <v>15</v>
      </c>
      <c r="B22" s="386" t="s">
        <v>576</v>
      </c>
      <c r="C22" s="381">
        <f>1368-'[4]Cas anuladas TEEM'!E22</f>
        <v>1292</v>
      </c>
      <c r="D22" s="382">
        <f t="shared" si="0"/>
        <v>0.16568350859194667</v>
      </c>
      <c r="E22" s="383">
        <f>2257-'[4]Cas anuladas TEEM'!F22</f>
        <v>2159</v>
      </c>
      <c r="F22" s="382">
        <f t="shared" si="1"/>
        <v>0.2768658630418056</v>
      </c>
      <c r="G22" s="383">
        <f>1179-'[4]Cas anuladas TEEM'!G22</f>
        <v>1140</v>
      </c>
      <c r="H22" s="382">
        <f t="shared" si="2"/>
        <v>0.14619133111054117</v>
      </c>
      <c r="I22" s="383">
        <f>134-'[4]Cas anuladas TEEM'!H22</f>
        <v>130</v>
      </c>
      <c r="J22" s="382">
        <f t="shared" si="3"/>
        <v>1.6670941266991535E-2</v>
      </c>
      <c r="K22" s="383">
        <f>345-'[4]Cas anuladas TEEM'!I22</f>
        <v>339</v>
      </c>
      <c r="L22" s="382">
        <f t="shared" si="4"/>
        <v>4.3472685303924084E-2</v>
      </c>
      <c r="M22" s="383">
        <f>30-'[4]Cas anuladas TEEM'!J22</f>
        <v>29</v>
      </c>
      <c r="N22" s="382">
        <f t="shared" si="5"/>
        <v>3.7189022826365735E-3</v>
      </c>
      <c r="O22" s="383">
        <f>1214-'[4]Cas anuladas TEEM'!K22</f>
        <v>1208</v>
      </c>
      <c r="P22" s="382">
        <f t="shared" si="6"/>
        <v>0.15491151577327519</v>
      </c>
      <c r="Q22" s="383">
        <f>1276-'[4]Cas anuladas TEEM'!L22</f>
        <v>1176</v>
      </c>
      <c r="R22" s="382">
        <f t="shared" si="7"/>
        <v>0.15080789946140036</v>
      </c>
      <c r="S22" s="383">
        <f>33-'[4]Cas anuladas TEEM'!M22</f>
        <v>33</v>
      </c>
      <c r="T22" s="382">
        <f t="shared" si="8"/>
        <v>4.2318543216209288E-3</v>
      </c>
      <c r="U22" s="383">
        <f>300-'[4]Cas anuladas TEEM'!N22</f>
        <v>292</v>
      </c>
      <c r="V22" s="382">
        <f t="shared" si="9"/>
        <v>3.7445498845857912E-2</v>
      </c>
      <c r="W22" s="384">
        <f t="shared" si="10"/>
        <v>7798</v>
      </c>
      <c r="X22" s="385">
        <f>'[4]Cas anuladas TEEM'!O22</f>
        <v>338</v>
      </c>
      <c r="Y22" s="385">
        <v>0</v>
      </c>
      <c r="Z22" s="385">
        <v>0</v>
      </c>
      <c r="AA22" s="378"/>
    </row>
    <row r="23" spans="1:27">
      <c r="A23" s="379">
        <v>16</v>
      </c>
      <c r="B23" s="380" t="s">
        <v>577</v>
      </c>
      <c r="C23" s="381">
        <v>2010</v>
      </c>
      <c r="D23" s="382">
        <f t="shared" si="0"/>
        <v>0.25952227243382825</v>
      </c>
      <c r="E23" s="383">
        <v>3446</v>
      </c>
      <c r="F23" s="382">
        <f t="shared" si="1"/>
        <v>0.444932214331827</v>
      </c>
      <c r="G23" s="383">
        <v>1718</v>
      </c>
      <c r="H23" s="382">
        <f t="shared" si="2"/>
        <v>0.22182052937378954</v>
      </c>
      <c r="I23" s="383">
        <v>111</v>
      </c>
      <c r="J23" s="382">
        <f t="shared" si="3"/>
        <v>1.4331826985151711E-2</v>
      </c>
      <c r="K23" s="383">
        <v>0</v>
      </c>
      <c r="L23" s="382">
        <f t="shared" si="4"/>
        <v>0</v>
      </c>
      <c r="M23" s="383">
        <v>9</v>
      </c>
      <c r="N23" s="382">
        <f t="shared" si="5"/>
        <v>1.1620400258231117E-3</v>
      </c>
      <c r="O23" s="383">
        <v>38</v>
      </c>
      <c r="P23" s="382">
        <f t="shared" si="6"/>
        <v>4.9063912201420274E-3</v>
      </c>
      <c r="Q23" s="383">
        <v>237</v>
      </c>
      <c r="R23" s="382">
        <f t="shared" si="7"/>
        <v>3.0600387346675275E-2</v>
      </c>
      <c r="S23" s="383">
        <v>0</v>
      </c>
      <c r="T23" s="382">
        <f t="shared" si="8"/>
        <v>0</v>
      </c>
      <c r="U23" s="383">
        <v>176</v>
      </c>
      <c r="V23" s="382">
        <f t="shared" si="9"/>
        <v>2.2724338282763074E-2</v>
      </c>
      <c r="W23" s="384">
        <f t="shared" si="10"/>
        <v>7745</v>
      </c>
      <c r="X23" s="385">
        <v>0</v>
      </c>
      <c r="Y23" s="385">
        <v>0</v>
      </c>
      <c r="Z23" s="385">
        <v>0</v>
      </c>
      <c r="AA23" s="378"/>
    </row>
    <row r="24" spans="1:27">
      <c r="A24" s="379">
        <v>17</v>
      </c>
      <c r="B24" s="380" t="s">
        <v>43</v>
      </c>
      <c r="C24" s="381">
        <v>164</v>
      </c>
      <c r="D24" s="382">
        <f t="shared" si="0"/>
        <v>6.5837013247691686E-2</v>
      </c>
      <c r="E24" s="383">
        <v>1074</v>
      </c>
      <c r="F24" s="382">
        <f t="shared" si="1"/>
        <v>0.43115214773183458</v>
      </c>
      <c r="G24" s="383">
        <v>192</v>
      </c>
      <c r="H24" s="382">
        <f t="shared" si="2"/>
        <v>7.7077478924126863E-2</v>
      </c>
      <c r="I24" s="383">
        <v>906</v>
      </c>
      <c r="J24" s="382">
        <f t="shared" si="3"/>
        <v>0.3637093536732236</v>
      </c>
      <c r="K24" s="383">
        <v>0</v>
      </c>
      <c r="L24" s="382">
        <f t="shared" si="4"/>
        <v>0</v>
      </c>
      <c r="M24" s="383">
        <v>0</v>
      </c>
      <c r="N24" s="382">
        <f t="shared" si="5"/>
        <v>0</v>
      </c>
      <c r="O24" s="383">
        <v>0</v>
      </c>
      <c r="P24" s="382">
        <f t="shared" si="6"/>
        <v>0</v>
      </c>
      <c r="Q24" s="383">
        <v>0</v>
      </c>
      <c r="R24" s="382">
        <f t="shared" si="7"/>
        <v>0</v>
      </c>
      <c r="S24" s="383">
        <v>1</v>
      </c>
      <c r="T24" s="382">
        <f t="shared" si="8"/>
        <v>4.0144520272982739E-4</v>
      </c>
      <c r="U24" s="383">
        <v>154</v>
      </c>
      <c r="V24" s="382">
        <f t="shared" si="9"/>
        <v>6.1822561220393417E-2</v>
      </c>
      <c r="W24" s="384">
        <f t="shared" si="10"/>
        <v>2491</v>
      </c>
      <c r="X24" s="385">
        <v>0</v>
      </c>
      <c r="Y24" s="385">
        <v>0</v>
      </c>
      <c r="Z24" s="385">
        <v>0</v>
      </c>
      <c r="AA24" s="378"/>
    </row>
    <row r="25" spans="1:27" ht="15">
      <c r="A25" s="379">
        <v>18</v>
      </c>
      <c r="B25" s="380" t="s">
        <v>578</v>
      </c>
      <c r="C25" s="381">
        <f>2494-'[4]Cas anuladas TEEM'!E23</f>
        <v>2440</v>
      </c>
      <c r="D25" s="382">
        <f t="shared" si="0"/>
        <v>0.20492147476274461</v>
      </c>
      <c r="E25" s="383">
        <f>5360-'[4]Cas anuladas TEEM'!F23</f>
        <v>5195</v>
      </c>
      <c r="F25" s="382">
        <f t="shared" si="1"/>
        <v>0.43629797598051567</v>
      </c>
      <c r="G25" s="383">
        <f>2265-'[4]Cas anuladas TEEM'!G23</f>
        <v>2181</v>
      </c>
      <c r="H25" s="382">
        <f t="shared" si="2"/>
        <v>0.18316956412194507</v>
      </c>
      <c r="I25" s="383">
        <f>472-'[4]Cas anuladas TEEM'!H23</f>
        <v>471</v>
      </c>
      <c r="J25" s="382">
        <f t="shared" si="3"/>
        <v>3.9556563366087177E-2</v>
      </c>
      <c r="K25" s="383">
        <f>0-'[4]Cas anuladas TEEM'!I23</f>
        <v>0</v>
      </c>
      <c r="L25" s="382">
        <f t="shared" si="4"/>
        <v>0</v>
      </c>
      <c r="M25" s="383">
        <f>1201-'[4]Cas anuladas TEEM'!J23</f>
        <v>1175</v>
      </c>
      <c r="N25" s="382">
        <f t="shared" si="5"/>
        <v>9.8681447887797091E-2</v>
      </c>
      <c r="O25" s="383">
        <f>56-'[4]Cas anuladas TEEM'!K23</f>
        <v>54</v>
      </c>
      <c r="P25" s="382">
        <f t="shared" si="6"/>
        <v>4.5351473922902496E-3</v>
      </c>
      <c r="Q25" s="383">
        <f>0-'[4]Cas anuladas TEEM'!L23</f>
        <v>0</v>
      </c>
      <c r="R25" s="382">
        <f t="shared" si="7"/>
        <v>0</v>
      </c>
      <c r="S25" s="383">
        <f>4-'[4]Cas anuladas TEEM'!M23</f>
        <v>3</v>
      </c>
      <c r="T25" s="382">
        <f t="shared" si="8"/>
        <v>2.5195263290501388E-4</v>
      </c>
      <c r="U25" s="383">
        <f>396-'[4]Cas anuladas TEEM'!N23</f>
        <v>388</v>
      </c>
      <c r="V25" s="382">
        <f t="shared" si="9"/>
        <v>3.2585873855715125E-2</v>
      </c>
      <c r="W25" s="384">
        <f t="shared" si="10"/>
        <v>11907</v>
      </c>
      <c r="X25" s="385">
        <f>'[4]Cas anuladas TEEM'!O23</f>
        <v>341</v>
      </c>
      <c r="Y25" s="385">
        <v>0</v>
      </c>
      <c r="Z25" s="385">
        <v>0</v>
      </c>
      <c r="AA25" s="378"/>
    </row>
    <row r="26" spans="1:27" ht="15">
      <c r="A26" s="379">
        <v>19</v>
      </c>
      <c r="B26" s="380" t="s">
        <v>579</v>
      </c>
      <c r="C26" s="381">
        <f>980+'[4]Cas anuladas TEPJF'!E9</f>
        <v>947</v>
      </c>
      <c r="D26" s="382">
        <f t="shared" si="0"/>
        <v>0.14645839777296629</v>
      </c>
      <c r="E26" s="383">
        <f>2709+'[4]Cas anuladas TEPJF'!F9</f>
        <v>2532</v>
      </c>
      <c r="F26" s="382">
        <f t="shared" si="1"/>
        <v>0.39158676152180638</v>
      </c>
      <c r="G26" s="383">
        <f>2542+'[4]Cas anuladas TEPJF'!G9</f>
        <v>2355</v>
      </c>
      <c r="H26" s="382">
        <f t="shared" si="2"/>
        <v>0.3642128054438602</v>
      </c>
      <c r="I26" s="383">
        <f>118+'[4]Cas anuladas TEPJF'!H9</f>
        <v>116</v>
      </c>
      <c r="J26" s="382">
        <f t="shared" si="3"/>
        <v>1.7939993813795237E-2</v>
      </c>
      <c r="K26" s="383">
        <f>321+'[4]Cas anuladas TEPJF'!I9</f>
        <v>292</v>
      </c>
      <c r="L26" s="382">
        <f t="shared" si="4"/>
        <v>4.5159294772656976E-2</v>
      </c>
      <c r="M26" s="383">
        <f>12+'[4]Cas anuladas TEPJF'!J9</f>
        <v>10</v>
      </c>
      <c r="N26" s="382">
        <f t="shared" si="5"/>
        <v>1.5465511908444171E-3</v>
      </c>
      <c r="O26" s="383">
        <f>0+'[4]Cas anuladas TEPJF'!K9</f>
        <v>0</v>
      </c>
      <c r="P26" s="382">
        <f t="shared" si="6"/>
        <v>0</v>
      </c>
      <c r="Q26" s="383">
        <f>67+'[4]Cas anuladas TEPJF'!L9</f>
        <v>65</v>
      </c>
      <c r="R26" s="382">
        <f t="shared" si="7"/>
        <v>1.0052582740488709E-2</v>
      </c>
      <c r="S26" s="383">
        <f>0+'[4]Cas anuladas TEPJF'!M9</f>
        <v>0</v>
      </c>
      <c r="T26" s="382">
        <f t="shared" si="8"/>
        <v>0</v>
      </c>
      <c r="U26" s="383">
        <f>160+'[4]Cas anuladas TEPJF'!N9</f>
        <v>149</v>
      </c>
      <c r="V26" s="382">
        <f t="shared" si="9"/>
        <v>2.3043612743581812E-2</v>
      </c>
      <c r="W26" s="384">
        <f t="shared" si="10"/>
        <v>6466</v>
      </c>
      <c r="X26" s="385">
        <v>0</v>
      </c>
      <c r="Y26" s="385">
        <v>0</v>
      </c>
      <c r="Z26" s="385">
        <f>-'[4]Cas anuladas TEPJF'!O9</f>
        <v>443</v>
      </c>
      <c r="AA26" s="378"/>
    </row>
    <row r="27" spans="1:27" ht="15">
      <c r="A27" s="379">
        <v>20</v>
      </c>
      <c r="B27" s="380" t="s">
        <v>580</v>
      </c>
      <c r="C27" s="381">
        <f>27976-'[4]Cas anuladas TEEM'!E24+'[4]Cas anuladas TEPJF'!E10</f>
        <v>27976</v>
      </c>
      <c r="D27" s="382">
        <f t="shared" si="0"/>
        <v>0.40114711786636076</v>
      </c>
      <c r="E27" s="383">
        <f>26440-'[4]Cas anuladas TEEM'!F24+'[4]Cas anuladas TEPJF'!F10</f>
        <v>26440</v>
      </c>
      <c r="F27" s="382">
        <f t="shared" si="1"/>
        <v>0.379122454832234</v>
      </c>
      <c r="G27" s="383">
        <f>9753-'[4]Cas anuladas TEEM'!G24+'[4]Cas anuladas TEPJF'!G10</f>
        <v>9753</v>
      </c>
      <c r="H27" s="382">
        <f t="shared" si="2"/>
        <v>0.13984800688270721</v>
      </c>
      <c r="I27" s="383">
        <f>1502-'[4]Cas anuladas TEEM'!H24+'[4]Cas anuladas TEPJF'!H10</f>
        <v>1502</v>
      </c>
      <c r="J27" s="382">
        <f t="shared" si="3"/>
        <v>2.1537137940923431E-2</v>
      </c>
      <c r="K27" s="383">
        <f>704-'[4]Cas anuladas TEEM'!I24+'[4]Cas anuladas TEPJF'!I10</f>
        <v>704</v>
      </c>
      <c r="L27" s="382">
        <f t="shared" si="4"/>
        <v>1.0094637223974764E-2</v>
      </c>
      <c r="M27" s="383">
        <f>1002-'[4]Cas anuladas TEEM'!J24+'[4]Cas anuladas TEPJF'!J10</f>
        <v>1002</v>
      </c>
      <c r="N27" s="382">
        <f t="shared" si="5"/>
        <v>1.4367651276168627E-2</v>
      </c>
      <c r="O27" s="383">
        <f>498-'[4]Cas anuladas TEEM'!K24+'[4]Cas anuladas TEPJF'!K10</f>
        <v>498</v>
      </c>
      <c r="P27" s="382">
        <f t="shared" si="6"/>
        <v>7.1408087180957844E-3</v>
      </c>
      <c r="Q27" s="383">
        <f>459-'[4]Cas anuladas TEEM'!L24+'[4]Cas anuladas TEPJF'!L10</f>
        <v>459</v>
      </c>
      <c r="R27" s="382">
        <f t="shared" si="7"/>
        <v>6.5815887582449098E-3</v>
      </c>
      <c r="S27" s="383">
        <f>4-'[4]Cas anuladas TEEM'!M24+'[4]Cas anuladas TEPJF'!M10</f>
        <v>4</v>
      </c>
      <c r="T27" s="382">
        <f t="shared" si="8"/>
        <v>5.7355893318038427E-5</v>
      </c>
      <c r="U27" s="383">
        <f>1402-'[4]Cas anuladas TEEM'!N24+'[4]Cas anuladas TEPJF'!N10</f>
        <v>1402</v>
      </c>
      <c r="V27" s="382">
        <f t="shared" si="9"/>
        <v>2.0103240607972469E-2</v>
      </c>
      <c r="W27" s="384">
        <f t="shared" si="10"/>
        <v>69740</v>
      </c>
      <c r="X27" s="385">
        <f>'[4]Cas anuladas TEEM'!O24</f>
        <v>371</v>
      </c>
      <c r="Y27" s="385">
        <f>'[4]Cas anuladas TEPJF'!O10</f>
        <v>371</v>
      </c>
      <c r="Z27" s="385">
        <v>0</v>
      </c>
      <c r="AA27" s="378"/>
    </row>
    <row r="28" spans="1:27">
      <c r="A28" s="379">
        <v>21</v>
      </c>
      <c r="B28" s="380" t="s">
        <v>46</v>
      </c>
      <c r="C28" s="381">
        <v>1392</v>
      </c>
      <c r="D28" s="382">
        <f t="shared" si="0"/>
        <v>0.14279852277390234</v>
      </c>
      <c r="E28" s="383">
        <v>2851</v>
      </c>
      <c r="F28" s="382">
        <f t="shared" si="1"/>
        <v>0.29247025030775542</v>
      </c>
      <c r="G28" s="383">
        <v>1563</v>
      </c>
      <c r="H28" s="382">
        <f t="shared" si="2"/>
        <v>0.16034058268362741</v>
      </c>
      <c r="I28" s="383">
        <v>3119</v>
      </c>
      <c r="J28" s="382">
        <f t="shared" si="3"/>
        <v>0.31996306934755847</v>
      </c>
      <c r="K28" s="383">
        <v>0</v>
      </c>
      <c r="L28" s="382">
        <f t="shared" si="4"/>
        <v>0</v>
      </c>
      <c r="M28" s="383">
        <v>24</v>
      </c>
      <c r="N28" s="382">
        <f t="shared" si="5"/>
        <v>2.4620434961017644E-3</v>
      </c>
      <c r="O28" s="383">
        <v>0</v>
      </c>
      <c r="P28" s="382">
        <f t="shared" si="6"/>
        <v>0</v>
      </c>
      <c r="Q28" s="383">
        <v>345</v>
      </c>
      <c r="R28" s="382">
        <f t="shared" si="7"/>
        <v>3.5391875256462861E-2</v>
      </c>
      <c r="S28" s="383">
        <v>2</v>
      </c>
      <c r="T28" s="382">
        <f t="shared" si="8"/>
        <v>2.051702913418137E-4</v>
      </c>
      <c r="U28" s="383">
        <v>452</v>
      </c>
      <c r="V28" s="382">
        <f t="shared" si="9"/>
        <v>4.6368485843249894E-2</v>
      </c>
      <c r="W28" s="384">
        <f t="shared" si="10"/>
        <v>9748</v>
      </c>
      <c r="X28" s="385">
        <v>0</v>
      </c>
      <c r="Y28" s="385">
        <v>0</v>
      </c>
      <c r="Z28" s="385">
        <v>0</v>
      </c>
      <c r="AA28" s="378"/>
    </row>
    <row r="29" spans="1:27">
      <c r="A29" s="379">
        <v>22</v>
      </c>
      <c r="B29" s="380" t="s">
        <v>581</v>
      </c>
      <c r="C29" s="381">
        <v>342</v>
      </c>
      <c r="D29" s="382">
        <f t="shared" si="0"/>
        <v>7.6492954596287188E-2</v>
      </c>
      <c r="E29" s="383">
        <v>861</v>
      </c>
      <c r="F29" s="382">
        <f t="shared" si="1"/>
        <v>0.19257436815030193</v>
      </c>
      <c r="G29" s="383">
        <v>565</v>
      </c>
      <c r="H29" s="382">
        <f t="shared" si="2"/>
        <v>0.12636993961082532</v>
      </c>
      <c r="I29" s="383">
        <v>299</v>
      </c>
      <c r="J29" s="382">
        <f t="shared" si="3"/>
        <v>6.6875419369268621E-2</v>
      </c>
      <c r="K29" s="383">
        <v>1341</v>
      </c>
      <c r="L29" s="382">
        <f t="shared" si="4"/>
        <v>0.29993290091702079</v>
      </c>
      <c r="M29" s="383">
        <v>17</v>
      </c>
      <c r="N29" s="382">
        <f t="shared" si="5"/>
        <v>3.8022813688212928E-3</v>
      </c>
      <c r="O29" s="383">
        <v>969</v>
      </c>
      <c r="P29" s="382">
        <f t="shared" si="6"/>
        <v>0.21673003802281368</v>
      </c>
      <c r="Q29" s="383">
        <v>0</v>
      </c>
      <c r="R29" s="382">
        <f t="shared" si="7"/>
        <v>0</v>
      </c>
      <c r="S29" s="383">
        <v>0</v>
      </c>
      <c r="T29" s="382">
        <f t="shared" si="8"/>
        <v>0</v>
      </c>
      <c r="U29" s="383">
        <v>77</v>
      </c>
      <c r="V29" s="382">
        <f t="shared" si="9"/>
        <v>1.7222097964661148E-2</v>
      </c>
      <c r="W29" s="384">
        <f t="shared" si="10"/>
        <v>4471</v>
      </c>
      <c r="X29" s="385">
        <v>0</v>
      </c>
      <c r="Y29" s="385">
        <v>0</v>
      </c>
      <c r="Z29" s="385">
        <v>0</v>
      </c>
      <c r="AA29" s="378"/>
    </row>
    <row r="30" spans="1:27">
      <c r="A30" s="379">
        <v>23</v>
      </c>
      <c r="B30" s="380" t="s">
        <v>48</v>
      </c>
      <c r="C30" s="381">
        <v>2108</v>
      </c>
      <c r="D30" s="382">
        <f t="shared" si="0"/>
        <v>0.17931269139162981</v>
      </c>
      <c r="E30" s="383">
        <v>1814</v>
      </c>
      <c r="F30" s="382">
        <f t="shared" si="1"/>
        <v>0.15430418509697175</v>
      </c>
      <c r="G30" s="383">
        <v>1004</v>
      </c>
      <c r="H30" s="382">
        <f t="shared" si="2"/>
        <v>8.540319836679143E-2</v>
      </c>
      <c r="I30" s="383">
        <v>557</v>
      </c>
      <c r="J30" s="382">
        <f t="shared" si="3"/>
        <v>4.7380061245321535E-2</v>
      </c>
      <c r="K30" s="383">
        <v>4411</v>
      </c>
      <c r="L30" s="382">
        <f t="shared" si="4"/>
        <v>0.37521265736645115</v>
      </c>
      <c r="M30" s="383">
        <v>0</v>
      </c>
      <c r="N30" s="382">
        <f t="shared" si="5"/>
        <v>0</v>
      </c>
      <c r="O30" s="383">
        <v>1514</v>
      </c>
      <c r="P30" s="382">
        <f t="shared" si="6"/>
        <v>0.1287853011228309</v>
      </c>
      <c r="Q30" s="383">
        <v>0</v>
      </c>
      <c r="R30" s="382">
        <f t="shared" si="7"/>
        <v>0</v>
      </c>
      <c r="S30" s="383">
        <v>14</v>
      </c>
      <c r="T30" s="382">
        <f t="shared" si="8"/>
        <v>1.1908812521265737E-3</v>
      </c>
      <c r="U30" s="383">
        <v>334</v>
      </c>
      <c r="V30" s="382">
        <f t="shared" si="9"/>
        <v>2.841102415787683E-2</v>
      </c>
      <c r="W30" s="384">
        <f t="shared" si="10"/>
        <v>11756</v>
      </c>
      <c r="X30" s="385">
        <v>0</v>
      </c>
      <c r="Y30" s="385">
        <v>0</v>
      </c>
      <c r="Z30" s="385">
        <v>0</v>
      </c>
      <c r="AA30" s="378"/>
    </row>
    <row r="31" spans="1:27" ht="15">
      <c r="A31" s="379">
        <v>24</v>
      </c>
      <c r="B31" s="380" t="s">
        <v>582</v>
      </c>
      <c r="C31" s="381">
        <f>7141-'[4]Cas anuladas TEEM'!E25</f>
        <v>7044</v>
      </c>
      <c r="D31" s="382">
        <f t="shared" si="0"/>
        <v>0.33387050905299082</v>
      </c>
      <c r="E31" s="383">
        <f>7757-'[4]Cas anuladas TEEM'!F25</f>
        <v>7659</v>
      </c>
      <c r="F31" s="382">
        <f t="shared" si="1"/>
        <v>0.36302019148734477</v>
      </c>
      <c r="G31" s="383">
        <f>1445-'[4]Cas anuladas TEEM'!G25</f>
        <v>1425</v>
      </c>
      <c r="H31" s="382">
        <f t="shared" si="2"/>
        <v>6.7541947103990904E-2</v>
      </c>
      <c r="I31" s="383">
        <f>3291-'[4]Cas anuladas TEEM'!H25</f>
        <v>3247</v>
      </c>
      <c r="J31" s="382">
        <f t="shared" si="3"/>
        <v>0.15390084368186557</v>
      </c>
      <c r="K31" s="383">
        <f>1020-'[4]Cas anuladas TEEM'!I25</f>
        <v>984</v>
      </c>
      <c r="L31" s="382">
        <f t="shared" si="4"/>
        <v>4.6639491894966349E-2</v>
      </c>
      <c r="M31" s="383">
        <f>202-'[4]Cas anuladas TEEM'!J25</f>
        <v>202</v>
      </c>
      <c r="N31" s="382">
        <f t="shared" si="5"/>
        <v>9.5743672386008147E-3</v>
      </c>
      <c r="O31" s="383">
        <f>113-'[4]Cas anuladas TEEM'!K25</f>
        <v>112</v>
      </c>
      <c r="P31" s="382">
        <f t="shared" si="6"/>
        <v>5.3085600530856005E-3</v>
      </c>
      <c r="Q31" s="383">
        <f>0-'[4]Cas anuladas TEEM'!L25</f>
        <v>0</v>
      </c>
      <c r="R31" s="382">
        <f t="shared" si="7"/>
        <v>0</v>
      </c>
      <c r="S31" s="383">
        <f>4-'[4]Cas anuladas TEEM'!M25</f>
        <v>4</v>
      </c>
      <c r="T31" s="382">
        <f t="shared" si="8"/>
        <v>1.8959143046734286E-4</v>
      </c>
      <c r="U31" s="383">
        <f>428-'[4]Cas anuladas TEEM'!N25</f>
        <v>421</v>
      </c>
      <c r="V31" s="382">
        <f t="shared" si="9"/>
        <v>1.9954498056687836E-2</v>
      </c>
      <c r="W31" s="384">
        <f t="shared" si="10"/>
        <v>21098</v>
      </c>
      <c r="X31" s="385">
        <f>'[4]Cas anuladas TEEM'!O25</f>
        <v>303</v>
      </c>
      <c r="Y31" s="385">
        <v>0</v>
      </c>
      <c r="Z31" s="385">
        <v>0</v>
      </c>
      <c r="AA31" s="378"/>
    </row>
    <row r="32" spans="1:27" ht="15">
      <c r="A32" s="379">
        <v>25</v>
      </c>
      <c r="B32" s="380" t="s">
        <v>583</v>
      </c>
      <c r="C32" s="381">
        <f>57530-'[4]Cas anuladas TEEM'!E31</f>
        <v>56912</v>
      </c>
      <c r="D32" s="382">
        <f t="shared" si="0"/>
        <v>0.46124046714050687</v>
      </c>
      <c r="E32" s="383">
        <f>40751-'[4]Cas anuladas TEEM'!F31</f>
        <v>40345</v>
      </c>
      <c r="F32" s="382">
        <f t="shared" si="1"/>
        <v>0.3269740414461581</v>
      </c>
      <c r="G32" s="383">
        <f>13590-'[4]Cas anuladas TEEM'!G31</f>
        <v>13459</v>
      </c>
      <c r="H32" s="382">
        <f t="shared" si="2"/>
        <v>0.1090777946170242</v>
      </c>
      <c r="I32" s="383">
        <f>6363-'[4]Cas anuladas TEEM'!H31</f>
        <v>6285</v>
      </c>
      <c r="J32" s="382">
        <f t="shared" si="3"/>
        <v>5.093646921524609E-2</v>
      </c>
      <c r="K32" s="383">
        <f>1160-'[4]Cas anuladas TEEM'!I31</f>
        <v>1133</v>
      </c>
      <c r="L32" s="382">
        <f t="shared" si="4"/>
        <v>9.1823420240053806E-3</v>
      </c>
      <c r="M32" s="383">
        <f>900-'[4]Cas anuladas TEEM'!J31</f>
        <v>891</v>
      </c>
      <c r="N32" s="382">
        <f t="shared" si="5"/>
        <v>7.221065086839183E-3</v>
      </c>
      <c r="O32" s="383">
        <f>1388-'[4]Cas anuladas TEEM'!K31</f>
        <v>1374</v>
      </c>
      <c r="P32" s="382">
        <f t="shared" si="6"/>
        <v>1.1135514511018E-2</v>
      </c>
      <c r="Q32" s="383">
        <f>574-'[4]Cas anuladas TEEM'!L31</f>
        <v>568</v>
      </c>
      <c r="R32" s="382">
        <f t="shared" si="7"/>
        <v>4.6033276872330595E-3</v>
      </c>
      <c r="S32" s="383">
        <f>30-'[4]Cas anuladas TEEM'!M31</f>
        <v>29</v>
      </c>
      <c r="T32" s="382">
        <f t="shared" si="8"/>
        <v>2.3502905445380059E-4</v>
      </c>
      <c r="U32" s="383">
        <f>2409-'[4]Cas anuladas TEEM'!N31</f>
        <v>2393</v>
      </c>
      <c r="V32" s="382">
        <f t="shared" si="9"/>
        <v>1.9393949217515336E-2</v>
      </c>
      <c r="W32" s="384">
        <f t="shared" si="10"/>
        <v>123389</v>
      </c>
      <c r="X32" s="385">
        <f>'[4]Cas anuladas TEEM'!O31</f>
        <v>1306</v>
      </c>
      <c r="Y32" s="385">
        <v>0</v>
      </c>
      <c r="Z32" s="385">
        <v>0</v>
      </c>
      <c r="AA32" s="378"/>
    </row>
    <row r="33" spans="1:27" ht="15">
      <c r="A33" s="379">
        <v>26</v>
      </c>
      <c r="B33" s="380" t="s">
        <v>584</v>
      </c>
      <c r="C33" s="381">
        <f>8071-'[4]Cas anuladas TEEM'!E42+'[4]Cas anuladas TEPJF'!E16</f>
        <v>7709</v>
      </c>
      <c r="D33" s="382">
        <f t="shared" si="0"/>
        <v>0.17489847312657394</v>
      </c>
      <c r="E33" s="383">
        <f>16955-'[4]Cas anuladas TEEM'!F42+'[4]Cas anuladas TEPJF'!F16</f>
        <v>16105</v>
      </c>
      <c r="F33" s="382">
        <f t="shared" si="1"/>
        <v>0.36538330648637612</v>
      </c>
      <c r="G33" s="383">
        <f>17202-'[4]Cas anuladas TEEM'!G42+'[4]Cas anuladas TEPJF'!G16</f>
        <v>16105</v>
      </c>
      <c r="H33" s="382">
        <f t="shared" si="2"/>
        <v>0.36538330648637612</v>
      </c>
      <c r="I33" s="383">
        <f>1520-'[4]Cas anuladas TEEM'!H42+'[4]Cas anuladas TEPJF'!H16</f>
        <v>1439</v>
      </c>
      <c r="J33" s="382">
        <f t="shared" si="3"/>
        <v>3.2647412482700727E-2</v>
      </c>
      <c r="K33" s="383">
        <f>260-'[4]Cas anuladas TEEM'!I42+'[4]Cas anuladas TEPJF'!I16</f>
        <v>240</v>
      </c>
      <c r="L33" s="382">
        <f t="shared" si="4"/>
        <v>5.4450166753635685E-3</v>
      </c>
      <c r="M33" s="383">
        <f>0-'[4]Cas anuladas TEEM'!J42+'[4]Cas anuladas TEPJF'!J16</f>
        <v>0</v>
      </c>
      <c r="N33" s="382">
        <f t="shared" si="5"/>
        <v>0</v>
      </c>
      <c r="O33" s="383">
        <f>974-'[4]Cas anuladas TEEM'!K42+'[4]Cas anuladas TEPJF'!K16</f>
        <v>954</v>
      </c>
      <c r="P33" s="382">
        <f t="shared" si="6"/>
        <v>2.1643941284570183E-2</v>
      </c>
      <c r="Q33" s="383">
        <f>200-'[4]Cas anuladas TEEM'!L42+'[4]Cas anuladas TEPJF'!L16</f>
        <v>190</v>
      </c>
      <c r="R33" s="382">
        <f t="shared" si="7"/>
        <v>4.3106382013294916E-3</v>
      </c>
      <c r="S33" s="383">
        <f>252-'[4]Cas anuladas TEEM'!M42+'[4]Cas anuladas TEPJF'!M16</f>
        <v>252</v>
      </c>
      <c r="T33" s="382">
        <f t="shared" si="8"/>
        <v>5.717267509131747E-3</v>
      </c>
      <c r="U33" s="383">
        <f>1153-'[4]Cas anuladas TEEM'!N42+'[4]Cas anuladas TEPJF'!N16</f>
        <v>1083</v>
      </c>
      <c r="V33" s="382">
        <f t="shared" si="9"/>
        <v>2.4570637747578103E-2</v>
      </c>
      <c r="W33" s="384">
        <f t="shared" si="10"/>
        <v>44077</v>
      </c>
      <c r="X33" s="385">
        <f>'[4]Cas anuladas TEEM'!O42</f>
        <v>2243</v>
      </c>
      <c r="Y33" s="385">
        <f>'[4]Cas anuladas TEPJF'!O11</f>
        <v>284</v>
      </c>
      <c r="Z33" s="385">
        <f>'[4]Cas anuladas TEPJF'!O12+'[4]Cas anuladas TEPJF'!O13-'[4]Cas anuladas TEPJF'!O14-'[4]Cas anuladas TEPJF'!O15</f>
        <v>551</v>
      </c>
      <c r="AA33" s="378"/>
    </row>
    <row r="34" spans="1:27">
      <c r="A34" s="379">
        <v>27</v>
      </c>
      <c r="B34" s="380" t="s">
        <v>52</v>
      </c>
      <c r="C34" s="381">
        <v>2800</v>
      </c>
      <c r="D34" s="382">
        <f t="shared" si="0"/>
        <v>0.31792892017713181</v>
      </c>
      <c r="E34" s="383">
        <v>3149</v>
      </c>
      <c r="F34" s="382">
        <f t="shared" si="1"/>
        <v>0.35755648915635291</v>
      </c>
      <c r="G34" s="383">
        <v>1080</v>
      </c>
      <c r="H34" s="382">
        <f t="shared" si="2"/>
        <v>0.12262972635403656</v>
      </c>
      <c r="I34" s="383">
        <v>1277</v>
      </c>
      <c r="J34" s="382">
        <f t="shared" si="3"/>
        <v>0.14499829680935619</v>
      </c>
      <c r="K34" s="383">
        <v>0</v>
      </c>
      <c r="L34" s="382">
        <f t="shared" si="4"/>
        <v>0</v>
      </c>
      <c r="M34" s="383">
        <v>12</v>
      </c>
      <c r="N34" s="382">
        <f t="shared" si="5"/>
        <v>1.3625525150448507E-3</v>
      </c>
      <c r="O34" s="383">
        <v>58</v>
      </c>
      <c r="P34" s="382">
        <f t="shared" si="6"/>
        <v>6.5856704893834453E-3</v>
      </c>
      <c r="Q34" s="383">
        <v>42</v>
      </c>
      <c r="R34" s="382">
        <f t="shared" si="7"/>
        <v>4.7689338026569777E-3</v>
      </c>
      <c r="S34" s="383">
        <v>0</v>
      </c>
      <c r="T34" s="382">
        <f t="shared" si="8"/>
        <v>0</v>
      </c>
      <c r="U34" s="383">
        <v>389</v>
      </c>
      <c r="V34" s="382">
        <f t="shared" si="9"/>
        <v>4.4169410696037241E-2</v>
      </c>
      <c r="W34" s="384">
        <f t="shared" si="10"/>
        <v>8807</v>
      </c>
      <c r="X34" s="385">
        <v>0</v>
      </c>
      <c r="Y34" s="385">
        <v>0</v>
      </c>
      <c r="Z34" s="385">
        <v>0</v>
      </c>
      <c r="AA34" s="378"/>
    </row>
    <row r="35" spans="1:27">
      <c r="A35" s="379">
        <v>28</v>
      </c>
      <c r="B35" s="380" t="s">
        <v>53</v>
      </c>
      <c r="C35" s="381">
        <v>1004</v>
      </c>
      <c r="D35" s="382">
        <f t="shared" si="0"/>
        <v>0.40979591836734691</v>
      </c>
      <c r="E35" s="383">
        <v>987</v>
      </c>
      <c r="F35" s="382">
        <f t="shared" si="1"/>
        <v>0.40285714285714286</v>
      </c>
      <c r="G35" s="383">
        <v>231</v>
      </c>
      <c r="H35" s="382">
        <f t="shared" si="2"/>
        <v>9.4285714285714292E-2</v>
      </c>
      <c r="I35" s="383">
        <v>128</v>
      </c>
      <c r="J35" s="382">
        <f t="shared" si="3"/>
        <v>5.2244897959183675E-2</v>
      </c>
      <c r="K35" s="383">
        <v>28</v>
      </c>
      <c r="L35" s="382">
        <f t="shared" si="4"/>
        <v>1.1428571428571429E-2</v>
      </c>
      <c r="M35" s="383">
        <v>3</v>
      </c>
      <c r="N35" s="382">
        <f t="shared" si="5"/>
        <v>1.2244897959183673E-3</v>
      </c>
      <c r="O35" s="383">
        <v>6</v>
      </c>
      <c r="P35" s="382">
        <f t="shared" si="6"/>
        <v>2.4489795918367346E-3</v>
      </c>
      <c r="Q35" s="383">
        <v>3</v>
      </c>
      <c r="R35" s="382">
        <f t="shared" si="7"/>
        <v>1.2244897959183673E-3</v>
      </c>
      <c r="S35" s="383">
        <v>0</v>
      </c>
      <c r="T35" s="382">
        <f t="shared" si="8"/>
        <v>0</v>
      </c>
      <c r="U35" s="383">
        <v>60</v>
      </c>
      <c r="V35" s="382">
        <f t="shared" si="9"/>
        <v>2.4489795918367346E-2</v>
      </c>
      <c r="W35" s="384">
        <f t="shared" si="10"/>
        <v>2450</v>
      </c>
      <c r="X35" s="385">
        <v>0</v>
      </c>
      <c r="Y35" s="385">
        <v>0</v>
      </c>
      <c r="Z35" s="385">
        <v>0</v>
      </c>
      <c r="AA35" s="378"/>
    </row>
    <row r="36" spans="1:27">
      <c r="A36" s="379">
        <v>29</v>
      </c>
      <c r="B36" s="380" t="s">
        <v>54</v>
      </c>
      <c r="C36" s="381">
        <v>368</v>
      </c>
      <c r="D36" s="382">
        <f t="shared" si="0"/>
        <v>4.783569478746913E-2</v>
      </c>
      <c r="E36" s="383">
        <v>2933</v>
      </c>
      <c r="F36" s="382">
        <f t="shared" si="1"/>
        <v>0.38125568698817108</v>
      </c>
      <c r="G36" s="383">
        <v>1808</v>
      </c>
      <c r="H36" s="382">
        <f t="shared" si="2"/>
        <v>0.23501884830365266</v>
      </c>
      <c r="I36" s="383">
        <v>2329</v>
      </c>
      <c r="J36" s="382">
        <f t="shared" si="3"/>
        <v>0.30274275315221633</v>
      </c>
      <c r="K36" s="383">
        <v>0</v>
      </c>
      <c r="L36" s="382">
        <f t="shared" si="4"/>
        <v>0</v>
      </c>
      <c r="M36" s="383">
        <v>0</v>
      </c>
      <c r="N36" s="382">
        <f t="shared" si="5"/>
        <v>0</v>
      </c>
      <c r="O36" s="383">
        <v>103</v>
      </c>
      <c r="P36" s="382">
        <f t="shared" si="6"/>
        <v>1.338879500844924E-2</v>
      </c>
      <c r="Q36" s="383">
        <v>48</v>
      </c>
      <c r="R36" s="382">
        <f t="shared" si="7"/>
        <v>6.2394384505394512E-3</v>
      </c>
      <c r="S36" s="383">
        <v>0</v>
      </c>
      <c r="T36" s="382">
        <f t="shared" si="8"/>
        <v>0</v>
      </c>
      <c r="U36" s="383">
        <v>104</v>
      </c>
      <c r="V36" s="382">
        <f t="shared" si="9"/>
        <v>1.3518783309502146E-2</v>
      </c>
      <c r="W36" s="384">
        <f t="shared" si="10"/>
        <v>7693</v>
      </c>
      <c r="X36" s="385">
        <v>0</v>
      </c>
      <c r="Y36" s="385">
        <v>0</v>
      </c>
      <c r="Z36" s="385">
        <v>0</v>
      </c>
      <c r="AA36" s="378"/>
    </row>
    <row r="37" spans="1:27">
      <c r="A37" s="379">
        <v>30</v>
      </c>
      <c r="B37" s="380" t="s">
        <v>55</v>
      </c>
      <c r="C37" s="381">
        <v>2356</v>
      </c>
      <c r="D37" s="382">
        <f t="shared" si="0"/>
        <v>9.6300837931739214E-2</v>
      </c>
      <c r="E37" s="383">
        <v>8939</v>
      </c>
      <c r="F37" s="382">
        <f t="shared" si="1"/>
        <v>0.36537911301859799</v>
      </c>
      <c r="G37" s="383">
        <v>11068</v>
      </c>
      <c r="H37" s="382">
        <f t="shared" si="2"/>
        <v>0.45240138974044553</v>
      </c>
      <c r="I37" s="383">
        <v>598</v>
      </c>
      <c r="J37" s="382">
        <f t="shared" si="3"/>
        <v>2.4443081953811566E-2</v>
      </c>
      <c r="K37" s="383">
        <v>232</v>
      </c>
      <c r="L37" s="382">
        <f t="shared" si="4"/>
        <v>9.4829348048232169E-3</v>
      </c>
      <c r="M37" s="383">
        <v>12</v>
      </c>
      <c r="N37" s="382">
        <f t="shared" si="5"/>
        <v>4.904966278356836E-4</v>
      </c>
      <c r="O37" s="383">
        <v>506</v>
      </c>
      <c r="P37" s="382">
        <f t="shared" si="6"/>
        <v>2.0682607807071325E-2</v>
      </c>
      <c r="Q37" s="383">
        <v>128</v>
      </c>
      <c r="R37" s="382">
        <f t="shared" si="7"/>
        <v>5.2319640302472921E-3</v>
      </c>
      <c r="S37" s="383">
        <v>6</v>
      </c>
      <c r="T37" s="382">
        <f t="shared" si="8"/>
        <v>2.452483139178418E-4</v>
      </c>
      <c r="U37" s="383">
        <v>620</v>
      </c>
      <c r="V37" s="382">
        <f t="shared" si="9"/>
        <v>2.534232577151032E-2</v>
      </c>
      <c r="W37" s="384">
        <f t="shared" si="10"/>
        <v>24465</v>
      </c>
      <c r="X37" s="385">
        <v>0</v>
      </c>
      <c r="Y37" s="385">
        <v>0</v>
      </c>
      <c r="Z37" s="385">
        <v>0</v>
      </c>
      <c r="AA37" s="378"/>
    </row>
    <row r="38" spans="1:27">
      <c r="A38" s="379">
        <v>31</v>
      </c>
      <c r="B38" s="380" t="s">
        <v>56</v>
      </c>
      <c r="C38" s="381">
        <v>548</v>
      </c>
      <c r="D38" s="382">
        <f t="shared" si="0"/>
        <v>8.2048210810001493E-2</v>
      </c>
      <c r="E38" s="383">
        <v>929</v>
      </c>
      <c r="F38" s="382">
        <f t="shared" si="1"/>
        <v>0.13909267854469232</v>
      </c>
      <c r="G38" s="383">
        <v>1262</v>
      </c>
      <c r="H38" s="382">
        <f t="shared" si="2"/>
        <v>0.18895044168288666</v>
      </c>
      <c r="I38" s="383">
        <v>1903</v>
      </c>
      <c r="J38" s="382">
        <f t="shared" si="3"/>
        <v>0.2849228926486001</v>
      </c>
      <c r="K38" s="383">
        <v>1813</v>
      </c>
      <c r="L38" s="382">
        <f t="shared" si="4"/>
        <v>0.27144782153016916</v>
      </c>
      <c r="M38" s="383">
        <v>0</v>
      </c>
      <c r="N38" s="382">
        <f t="shared" si="5"/>
        <v>0</v>
      </c>
      <c r="O38" s="383">
        <v>126</v>
      </c>
      <c r="P38" s="382">
        <f t="shared" si="6"/>
        <v>1.8865099565803265E-2</v>
      </c>
      <c r="Q38" s="383">
        <v>0</v>
      </c>
      <c r="R38" s="382">
        <f t="shared" si="7"/>
        <v>0</v>
      </c>
      <c r="S38" s="383">
        <v>0</v>
      </c>
      <c r="T38" s="382">
        <f t="shared" si="8"/>
        <v>0</v>
      </c>
      <c r="U38" s="383">
        <v>98</v>
      </c>
      <c r="V38" s="382">
        <f t="shared" si="9"/>
        <v>1.4672855217846984E-2</v>
      </c>
      <c r="W38" s="384">
        <f t="shared" si="10"/>
        <v>6679</v>
      </c>
      <c r="X38" s="385">
        <v>0</v>
      </c>
      <c r="Y38" s="385">
        <v>0</v>
      </c>
      <c r="Z38" s="385">
        <v>0</v>
      </c>
      <c r="AA38" s="378"/>
    </row>
    <row r="39" spans="1:27">
      <c r="A39" s="379">
        <v>32</v>
      </c>
      <c r="B39" s="380" t="s">
        <v>585</v>
      </c>
      <c r="C39" s="381">
        <v>7029</v>
      </c>
      <c r="D39" s="382">
        <f t="shared" si="0"/>
        <v>8.5128801366130144E-2</v>
      </c>
      <c r="E39" s="383">
        <v>35771</v>
      </c>
      <c r="F39" s="382">
        <f t="shared" si="1"/>
        <v>0.43322554469595126</v>
      </c>
      <c r="G39" s="383">
        <v>14218</v>
      </c>
      <c r="H39" s="382">
        <f t="shared" si="2"/>
        <v>0.17219537598856713</v>
      </c>
      <c r="I39" s="383">
        <v>1578</v>
      </c>
      <c r="J39" s="382">
        <f t="shared" si="3"/>
        <v>1.9111288740326273E-2</v>
      </c>
      <c r="K39" s="383">
        <v>18477</v>
      </c>
      <c r="L39" s="382">
        <f t="shared" si="4"/>
        <v>0.223776477854885</v>
      </c>
      <c r="M39" s="383">
        <v>651</v>
      </c>
      <c r="N39" s="382">
        <f t="shared" si="5"/>
        <v>7.884314936598481E-3</v>
      </c>
      <c r="O39" s="383">
        <v>567</v>
      </c>
      <c r="P39" s="382">
        <f t="shared" si="6"/>
        <v>6.8669839770373869E-3</v>
      </c>
      <c r="Q39" s="383">
        <v>826</v>
      </c>
      <c r="R39" s="382">
        <f t="shared" si="7"/>
        <v>1.0003754435684095E-2</v>
      </c>
      <c r="S39" s="383">
        <v>615</v>
      </c>
      <c r="T39" s="382">
        <f t="shared" si="8"/>
        <v>7.4483159539294411E-3</v>
      </c>
      <c r="U39" s="383">
        <v>2837</v>
      </c>
      <c r="V39" s="382">
        <f t="shared" si="9"/>
        <v>3.4359142050890773E-2</v>
      </c>
      <c r="W39" s="384">
        <f t="shared" si="10"/>
        <v>82569</v>
      </c>
      <c r="X39" s="385">
        <v>0</v>
      </c>
      <c r="Y39" s="385">
        <v>0</v>
      </c>
      <c r="Z39" s="385">
        <v>0</v>
      </c>
      <c r="AA39" s="378"/>
    </row>
    <row r="40" spans="1:27">
      <c r="A40" s="379">
        <v>33</v>
      </c>
      <c r="B40" s="380" t="s">
        <v>57</v>
      </c>
      <c r="C40" s="381">
        <v>426</v>
      </c>
      <c r="D40" s="382">
        <f t="shared" si="0"/>
        <v>4.2345924453280316E-2</v>
      </c>
      <c r="E40" s="383">
        <v>4182</v>
      </c>
      <c r="F40" s="382">
        <f t="shared" si="1"/>
        <v>0.41570576540755466</v>
      </c>
      <c r="G40" s="383">
        <v>4821</v>
      </c>
      <c r="H40" s="382">
        <f t="shared" si="2"/>
        <v>0.47922465208747517</v>
      </c>
      <c r="I40" s="383">
        <v>69</v>
      </c>
      <c r="J40" s="382">
        <f t="shared" si="3"/>
        <v>6.8588469184890652E-3</v>
      </c>
      <c r="K40" s="383">
        <v>0</v>
      </c>
      <c r="L40" s="382">
        <f t="shared" si="4"/>
        <v>0</v>
      </c>
      <c r="M40" s="383">
        <v>0</v>
      </c>
      <c r="N40" s="382">
        <f t="shared" si="5"/>
        <v>0</v>
      </c>
      <c r="O40" s="383">
        <v>19</v>
      </c>
      <c r="P40" s="382">
        <f t="shared" si="6"/>
        <v>1.8886679920477136E-3</v>
      </c>
      <c r="Q40" s="383">
        <v>0</v>
      </c>
      <c r="R40" s="382">
        <f t="shared" si="7"/>
        <v>0</v>
      </c>
      <c r="S40" s="383">
        <v>1</v>
      </c>
      <c r="T40" s="382">
        <f t="shared" si="8"/>
        <v>9.9403578528827041E-5</v>
      </c>
      <c r="U40" s="383">
        <v>542</v>
      </c>
      <c r="V40" s="382">
        <f t="shared" si="9"/>
        <v>5.3876739562624253E-2</v>
      </c>
      <c r="W40" s="384">
        <f t="shared" si="10"/>
        <v>10060</v>
      </c>
      <c r="X40" s="385">
        <v>0</v>
      </c>
      <c r="Y40" s="385">
        <v>0</v>
      </c>
      <c r="Z40" s="385">
        <v>0</v>
      </c>
      <c r="AA40" s="378"/>
    </row>
    <row r="41" spans="1:27">
      <c r="A41" s="379">
        <v>34</v>
      </c>
      <c r="B41" s="380" t="s">
        <v>528</v>
      </c>
      <c r="C41" s="381">
        <f>109117+'[4]Cas anuladas TEPJF'!E81</f>
        <v>105299</v>
      </c>
      <c r="D41" s="382">
        <f t="shared" si="0"/>
        <v>0.30111582631771594</v>
      </c>
      <c r="E41" s="383">
        <f>120626+'[4]Cas anuladas TEPJF'!F81</f>
        <v>116244</v>
      </c>
      <c r="F41" s="382">
        <f t="shared" si="1"/>
        <v>0.3324144399707174</v>
      </c>
      <c r="G41" s="383">
        <f>107193+'[4]Cas anuladas TEPJF'!G81</f>
        <v>103403</v>
      </c>
      <c r="H41" s="382">
        <f t="shared" si="2"/>
        <v>0.29569397419472915</v>
      </c>
      <c r="I41" s="383">
        <f>6808+'[4]Cas anuladas TEPJF'!H81</f>
        <v>6540</v>
      </c>
      <c r="J41" s="382">
        <f t="shared" si="3"/>
        <v>1.8701958272327963E-2</v>
      </c>
      <c r="K41" s="383">
        <f>1972+'[4]Cas anuladas TEPJF'!I81</f>
        <v>1908</v>
      </c>
      <c r="L41" s="382">
        <f t="shared" si="4"/>
        <v>5.4561676427525626E-3</v>
      </c>
      <c r="M41" s="383">
        <f>2118+'[4]Cas anuladas TEPJF'!J81</f>
        <v>2026</v>
      </c>
      <c r="N41" s="382">
        <f t="shared" si="5"/>
        <v>5.7936035871156664E-3</v>
      </c>
      <c r="O41" s="383">
        <f>1838+'[4]Cas anuladas TEPJF'!K81</f>
        <v>1777</v>
      </c>
      <c r="P41" s="382">
        <f t="shared" si="6"/>
        <v>5.0815565519765739E-3</v>
      </c>
      <c r="Q41" s="383">
        <f>5114+'[4]Cas anuladas TEPJF'!L81</f>
        <v>4984</v>
      </c>
      <c r="R41" s="382">
        <f t="shared" si="7"/>
        <v>1.4252379209370425E-2</v>
      </c>
      <c r="S41" s="383">
        <f>42+'[4]Cas anuladas TEPJF'!M81</f>
        <v>42</v>
      </c>
      <c r="T41" s="382">
        <f t="shared" si="8"/>
        <v>1.2010431918008785E-4</v>
      </c>
      <c r="U41" s="383">
        <f>7717+'[4]Cas anuladas TEPJF'!N81</f>
        <v>7473</v>
      </c>
      <c r="V41" s="382">
        <f t="shared" si="9"/>
        <v>2.1369989934114202E-2</v>
      </c>
      <c r="W41" s="384">
        <f t="shared" si="10"/>
        <v>349696</v>
      </c>
      <c r="X41" s="385">
        <v>0</v>
      </c>
      <c r="Y41" s="385">
        <v>0</v>
      </c>
      <c r="Z41" s="385">
        <f>-'[4]Cas anuladas TEPJF'!O81</f>
        <v>12849</v>
      </c>
      <c r="AA41" s="378"/>
    </row>
    <row r="42" spans="1:27">
      <c r="A42" s="379">
        <v>35</v>
      </c>
      <c r="B42" s="380" t="s">
        <v>58</v>
      </c>
      <c r="C42" s="381">
        <v>251</v>
      </c>
      <c r="D42" s="382">
        <f t="shared" si="0"/>
        <v>8.7486929243638892E-2</v>
      </c>
      <c r="E42" s="383">
        <v>1277</v>
      </c>
      <c r="F42" s="382">
        <f t="shared" si="1"/>
        <v>0.44510282328337397</v>
      </c>
      <c r="G42" s="383">
        <v>1165</v>
      </c>
      <c r="H42" s="382">
        <f t="shared" si="2"/>
        <v>0.40606483095155105</v>
      </c>
      <c r="I42" s="383">
        <v>27</v>
      </c>
      <c r="J42" s="382">
        <f t="shared" si="3"/>
        <v>9.4109445799930285E-3</v>
      </c>
      <c r="K42" s="383">
        <v>0</v>
      </c>
      <c r="L42" s="382">
        <f t="shared" si="4"/>
        <v>0</v>
      </c>
      <c r="M42" s="383">
        <v>19</v>
      </c>
      <c r="N42" s="382">
        <f t="shared" si="5"/>
        <v>6.6225165562913907E-3</v>
      </c>
      <c r="O42" s="383">
        <v>0</v>
      </c>
      <c r="P42" s="382">
        <f t="shared" si="6"/>
        <v>0</v>
      </c>
      <c r="Q42" s="383">
        <v>22</v>
      </c>
      <c r="R42" s="382">
        <f t="shared" si="7"/>
        <v>7.668177065179505E-3</v>
      </c>
      <c r="S42" s="383">
        <v>4</v>
      </c>
      <c r="T42" s="382">
        <f t="shared" si="8"/>
        <v>1.3942140118508191E-3</v>
      </c>
      <c r="U42" s="383">
        <v>104</v>
      </c>
      <c r="V42" s="382">
        <f t="shared" si="9"/>
        <v>3.6249564308121297E-2</v>
      </c>
      <c r="W42" s="384">
        <f t="shared" si="10"/>
        <v>2869</v>
      </c>
      <c r="X42" s="385">
        <v>0</v>
      </c>
      <c r="Y42" s="385">
        <v>0</v>
      </c>
      <c r="Z42" s="385">
        <v>0</v>
      </c>
      <c r="AA42" s="378"/>
    </row>
    <row r="43" spans="1:27">
      <c r="A43" s="379">
        <v>36</v>
      </c>
      <c r="B43" s="380" t="s">
        <v>59</v>
      </c>
      <c r="C43" s="381">
        <v>6983</v>
      </c>
      <c r="D43" s="382">
        <f t="shared" si="0"/>
        <v>0.46475873544093177</v>
      </c>
      <c r="E43" s="383">
        <v>6289</v>
      </c>
      <c r="F43" s="382">
        <f t="shared" si="1"/>
        <v>0.41856905158069885</v>
      </c>
      <c r="G43" s="383">
        <v>701</v>
      </c>
      <c r="H43" s="382">
        <f t="shared" si="2"/>
        <v>4.6655574043261233E-2</v>
      </c>
      <c r="I43" s="383">
        <v>252</v>
      </c>
      <c r="J43" s="382">
        <f t="shared" si="3"/>
        <v>1.6772046589018302E-2</v>
      </c>
      <c r="K43" s="383">
        <v>322</v>
      </c>
      <c r="L43" s="382">
        <f t="shared" si="4"/>
        <v>2.1430948419301165E-2</v>
      </c>
      <c r="M43" s="383">
        <v>0</v>
      </c>
      <c r="N43" s="382">
        <f t="shared" si="5"/>
        <v>0</v>
      </c>
      <c r="O43" s="383">
        <v>122</v>
      </c>
      <c r="P43" s="382">
        <f t="shared" si="6"/>
        <v>8.1198003327787021E-3</v>
      </c>
      <c r="Q43" s="383">
        <v>0</v>
      </c>
      <c r="R43" s="382">
        <f t="shared" si="7"/>
        <v>0</v>
      </c>
      <c r="S43" s="383">
        <v>1</v>
      </c>
      <c r="T43" s="382">
        <f t="shared" si="8"/>
        <v>6.6555740432612306E-5</v>
      </c>
      <c r="U43" s="383">
        <v>355</v>
      </c>
      <c r="V43" s="382">
        <f t="shared" si="9"/>
        <v>2.3627287853577372E-2</v>
      </c>
      <c r="W43" s="384">
        <f t="shared" si="10"/>
        <v>15025</v>
      </c>
      <c r="X43" s="385">
        <v>0</v>
      </c>
      <c r="Y43" s="385">
        <v>0</v>
      </c>
      <c r="Z43" s="385">
        <v>0</v>
      </c>
      <c r="AA43" s="378"/>
    </row>
    <row r="44" spans="1:27">
      <c r="A44" s="379">
        <v>37</v>
      </c>
      <c r="B44" s="380" t="s">
        <v>60</v>
      </c>
      <c r="C44" s="381">
        <v>850</v>
      </c>
      <c r="D44" s="382">
        <f t="shared" si="0"/>
        <v>7.0028011204481794E-2</v>
      </c>
      <c r="E44" s="383">
        <v>5007</v>
      </c>
      <c r="F44" s="382">
        <f t="shared" si="1"/>
        <v>0.41250617894216512</v>
      </c>
      <c r="G44" s="383">
        <v>5843</v>
      </c>
      <c r="H44" s="382">
        <f t="shared" si="2"/>
        <v>0.48138078760916131</v>
      </c>
      <c r="I44" s="383">
        <v>56</v>
      </c>
      <c r="J44" s="382">
        <f t="shared" si="3"/>
        <v>4.61361014994233E-3</v>
      </c>
      <c r="K44" s="383">
        <v>86</v>
      </c>
      <c r="L44" s="382">
        <f t="shared" si="4"/>
        <v>7.0851870159828641E-3</v>
      </c>
      <c r="M44" s="383">
        <v>0</v>
      </c>
      <c r="N44" s="382">
        <f t="shared" si="5"/>
        <v>0</v>
      </c>
      <c r="O44" s="383">
        <v>24</v>
      </c>
      <c r="P44" s="382">
        <f t="shared" si="6"/>
        <v>1.9772614928324269E-3</v>
      </c>
      <c r="Q44" s="383">
        <v>0</v>
      </c>
      <c r="R44" s="382">
        <f t="shared" si="7"/>
        <v>0</v>
      </c>
      <c r="S44" s="383">
        <v>1</v>
      </c>
      <c r="T44" s="382">
        <f t="shared" si="8"/>
        <v>8.2385895534684459E-5</v>
      </c>
      <c r="U44" s="383">
        <v>271</v>
      </c>
      <c r="V44" s="382">
        <f t="shared" si="9"/>
        <v>2.2326577689899488E-2</v>
      </c>
      <c r="W44" s="384">
        <f t="shared" si="10"/>
        <v>12138</v>
      </c>
      <c r="X44" s="385">
        <v>0</v>
      </c>
      <c r="Y44" s="385">
        <v>0</v>
      </c>
      <c r="Z44" s="385">
        <v>0</v>
      </c>
      <c r="AA44" s="378"/>
    </row>
    <row r="45" spans="1:27" ht="15">
      <c r="A45" s="379">
        <v>38</v>
      </c>
      <c r="B45" s="380" t="s">
        <v>586</v>
      </c>
      <c r="C45" s="381">
        <f>15342-'[4]Cas anuladas TEEM'!E45</f>
        <v>15197</v>
      </c>
      <c r="D45" s="382">
        <f t="shared" si="0"/>
        <v>0.28017551298832988</v>
      </c>
      <c r="E45" s="383">
        <f>18397-'[4]Cas anuladas TEEM'!F45</f>
        <v>18283</v>
      </c>
      <c r="F45" s="382">
        <f t="shared" si="1"/>
        <v>0.33706974428937519</v>
      </c>
      <c r="G45" s="383">
        <f>15424-'[4]Cas anuladas TEEM'!G45</f>
        <v>15274</v>
      </c>
      <c r="H45" s="382">
        <f t="shared" si="2"/>
        <v>0.2815951033351155</v>
      </c>
      <c r="I45" s="383">
        <f>1165-'[4]Cas anuladas TEEM'!H45</f>
        <v>1159</v>
      </c>
      <c r="J45" s="382">
        <f t="shared" si="3"/>
        <v>2.1367600154864403E-2</v>
      </c>
      <c r="K45" s="383">
        <f>1498-'[4]Cas anuladas TEEM'!I45</f>
        <v>1488</v>
      </c>
      <c r="L45" s="382">
        <f t="shared" si="4"/>
        <v>2.743312254567578E-2</v>
      </c>
      <c r="M45" s="383">
        <f>219-'[4]Cas anuladas TEEM'!J45</f>
        <v>219</v>
      </c>
      <c r="N45" s="382">
        <f t="shared" si="5"/>
        <v>4.0375361811176048E-3</v>
      </c>
      <c r="O45" s="383">
        <f>328-'[4]Cas anuladas TEEM'!K45</f>
        <v>324</v>
      </c>
      <c r="P45" s="382">
        <f t="shared" si="6"/>
        <v>5.9733411994616617E-3</v>
      </c>
      <c r="Q45" s="383">
        <f>810-'[4]Cas anuladas TEEM'!L45</f>
        <v>807</v>
      </c>
      <c r="R45" s="382">
        <f t="shared" si="7"/>
        <v>1.4878044283844325E-2</v>
      </c>
      <c r="S45" s="383">
        <f>10-'[4]Cas anuladas TEEM'!M45</f>
        <v>10</v>
      </c>
      <c r="T45" s="382">
        <f t="shared" si="8"/>
        <v>1.84362382699434E-4</v>
      </c>
      <c r="U45" s="383">
        <f>1500-'[4]Cas anuladas TEEM'!N45</f>
        <v>1480</v>
      </c>
      <c r="V45" s="382">
        <f t="shared" si="9"/>
        <v>2.7285632639516232E-2</v>
      </c>
      <c r="W45" s="384">
        <f t="shared" si="10"/>
        <v>54241</v>
      </c>
      <c r="X45" s="385">
        <f>'[4]Cas anuladas TEEM'!O45</f>
        <v>452</v>
      </c>
      <c r="Y45" s="385">
        <v>0</v>
      </c>
      <c r="Z45" s="385">
        <v>0</v>
      </c>
      <c r="AA45" s="378"/>
    </row>
    <row r="46" spans="1:27">
      <c r="A46" s="379">
        <v>39</v>
      </c>
      <c r="B46" s="380" t="s">
        <v>61</v>
      </c>
      <c r="C46" s="381">
        <v>126</v>
      </c>
      <c r="D46" s="382">
        <f t="shared" si="0"/>
        <v>3.5643564356435641E-2</v>
      </c>
      <c r="E46" s="383">
        <v>683</v>
      </c>
      <c r="F46" s="382">
        <f t="shared" si="1"/>
        <v>0.1932107496463932</v>
      </c>
      <c r="G46" s="383">
        <v>558</v>
      </c>
      <c r="H46" s="382">
        <f t="shared" si="2"/>
        <v>0.15785007072135784</v>
      </c>
      <c r="I46" s="383">
        <v>522</v>
      </c>
      <c r="J46" s="382">
        <f t="shared" si="3"/>
        <v>0.14766619519094767</v>
      </c>
      <c r="K46" s="383">
        <v>631</v>
      </c>
      <c r="L46" s="382">
        <f t="shared" si="4"/>
        <v>0.1785007072135785</v>
      </c>
      <c r="M46" s="383">
        <v>765</v>
      </c>
      <c r="N46" s="382">
        <f t="shared" si="5"/>
        <v>0.21640735502121641</v>
      </c>
      <c r="O46" s="383">
        <v>194</v>
      </c>
      <c r="P46" s="382">
        <f t="shared" si="6"/>
        <v>5.4879773691654879E-2</v>
      </c>
      <c r="Q46" s="383">
        <v>0</v>
      </c>
      <c r="R46" s="382">
        <f t="shared" si="7"/>
        <v>0</v>
      </c>
      <c r="S46" s="383">
        <v>0</v>
      </c>
      <c r="T46" s="382">
        <f t="shared" si="8"/>
        <v>0</v>
      </c>
      <c r="U46" s="383">
        <v>56</v>
      </c>
      <c r="V46" s="382">
        <f t="shared" si="9"/>
        <v>1.5841584158415842E-2</v>
      </c>
      <c r="W46" s="384">
        <f t="shared" si="10"/>
        <v>3535</v>
      </c>
      <c r="X46" s="385">
        <v>0</v>
      </c>
      <c r="Y46" s="385">
        <v>0</v>
      </c>
      <c r="Z46" s="385">
        <v>0</v>
      </c>
      <c r="AA46" s="378"/>
    </row>
    <row r="47" spans="1:27" ht="15">
      <c r="A47" s="379">
        <v>40</v>
      </c>
      <c r="B47" s="380" t="s">
        <v>587</v>
      </c>
      <c r="C47" s="381">
        <f>8101-'[4]Cas anuladas TEEM'!E57</f>
        <v>7731</v>
      </c>
      <c r="D47" s="382">
        <f t="shared" si="0"/>
        <v>0.12751323624008312</v>
      </c>
      <c r="E47" s="383">
        <f>27214-'[4]Cas anuladas TEEM'!F57</f>
        <v>25886</v>
      </c>
      <c r="F47" s="382">
        <f t="shared" si="1"/>
        <v>0.42695739662537729</v>
      </c>
      <c r="G47" s="383">
        <f>23742-'[4]Cas anuladas TEEM'!G57</f>
        <v>22776</v>
      </c>
      <c r="H47" s="382">
        <f t="shared" si="2"/>
        <v>0.37566181200415644</v>
      </c>
      <c r="I47" s="383">
        <f>927-'[4]Cas anuladas TEEM'!H57</f>
        <v>892</v>
      </c>
      <c r="J47" s="382">
        <f t="shared" si="3"/>
        <v>1.4712431344736017E-2</v>
      </c>
      <c r="K47" s="383">
        <f>502-'[4]Cas anuladas TEEM'!I57</f>
        <v>482</v>
      </c>
      <c r="L47" s="382">
        <f t="shared" si="4"/>
        <v>7.9499909284335875E-3</v>
      </c>
      <c r="M47" s="383">
        <f>196-'[4]Cas anuladas TEEM'!J57</f>
        <v>179</v>
      </c>
      <c r="N47" s="382">
        <f t="shared" si="5"/>
        <v>2.952382523214963E-3</v>
      </c>
      <c r="O47" s="383">
        <f>248-'[4]Cas anuladas TEEM'!K57</f>
        <v>244</v>
      </c>
      <c r="P47" s="382">
        <f t="shared" si="6"/>
        <v>4.0244767355555921E-3</v>
      </c>
      <c r="Q47" s="383">
        <f>577-'[4]Cas anuladas TEEM'!L57</f>
        <v>548</v>
      </c>
      <c r="R47" s="382">
        <f t="shared" si="7"/>
        <v>9.0385788978871503E-3</v>
      </c>
      <c r="S47" s="383">
        <f>37-'[4]Cas anuladas TEEM'!M57</f>
        <v>35</v>
      </c>
      <c r="T47" s="382">
        <f t="shared" si="8"/>
        <v>5.7728149895264647E-4</v>
      </c>
      <c r="U47" s="383">
        <f>1966-'[4]Cas anuladas TEEM'!N57</f>
        <v>1856</v>
      </c>
      <c r="V47" s="382">
        <f t="shared" si="9"/>
        <v>3.0612413201603194E-2</v>
      </c>
      <c r="W47" s="384">
        <f t="shared" si="10"/>
        <v>60629</v>
      </c>
      <c r="X47" s="385">
        <f>'[4]Cas anuladas TEEM'!O57</f>
        <v>2881</v>
      </c>
      <c r="Y47" s="385">
        <v>0</v>
      </c>
      <c r="Z47" s="385">
        <v>0</v>
      </c>
      <c r="AA47" s="378"/>
    </row>
    <row r="48" spans="1:27" ht="15">
      <c r="A48" s="379">
        <v>41</v>
      </c>
      <c r="B48" s="380" t="s">
        <v>588</v>
      </c>
      <c r="C48" s="381">
        <f>4300-'[4]Cas anuladas TEEM'!E60</f>
        <v>4017</v>
      </c>
      <c r="D48" s="382">
        <f t="shared" si="0"/>
        <v>0.4350227420402859</v>
      </c>
      <c r="E48" s="383">
        <f>4631-'[4]Cas anuladas TEEM'!F60</f>
        <v>4333</v>
      </c>
      <c r="F48" s="382">
        <f t="shared" si="1"/>
        <v>0.46924409789906868</v>
      </c>
      <c r="G48" s="383">
        <f>339-'[4]Cas anuladas TEEM'!G60</f>
        <v>317</v>
      </c>
      <c r="H48" s="382">
        <f t="shared" si="2"/>
        <v>3.4329651288715617E-2</v>
      </c>
      <c r="I48" s="383">
        <f>87-'[4]Cas anuladas TEEM'!H60</f>
        <v>85</v>
      </c>
      <c r="J48" s="382">
        <f t="shared" si="3"/>
        <v>9.2051115442928315E-3</v>
      </c>
      <c r="K48" s="383">
        <f>0-'[4]Cas anuladas TEEM'!I60</f>
        <v>0</v>
      </c>
      <c r="L48" s="382">
        <f t="shared" si="4"/>
        <v>0</v>
      </c>
      <c r="M48" s="383">
        <f>17-'[4]Cas anuladas TEEM'!J60</f>
        <v>16</v>
      </c>
      <c r="N48" s="382">
        <f t="shared" si="5"/>
        <v>1.7327268789257093E-3</v>
      </c>
      <c r="O48" s="383">
        <f>89-'[4]Cas anuladas TEEM'!K60</f>
        <v>84</v>
      </c>
      <c r="P48" s="382">
        <f t="shared" si="6"/>
        <v>9.0968161143599735E-3</v>
      </c>
      <c r="Q48" s="383">
        <f>0-'[4]Cas anuladas TEEM'!L60</f>
        <v>0</v>
      </c>
      <c r="R48" s="382">
        <f t="shared" si="7"/>
        <v>0</v>
      </c>
      <c r="S48" s="383">
        <f>14-'[4]Cas anuladas TEEM'!M60</f>
        <v>14</v>
      </c>
      <c r="T48" s="382">
        <f t="shared" si="8"/>
        <v>1.5161360190599957E-3</v>
      </c>
      <c r="U48" s="383">
        <f>384-'[4]Cas anuladas TEEM'!N60</f>
        <v>368</v>
      </c>
      <c r="V48" s="382">
        <f t="shared" si="9"/>
        <v>3.9852718215291315E-2</v>
      </c>
      <c r="W48" s="384">
        <f t="shared" si="10"/>
        <v>9234</v>
      </c>
      <c r="X48" s="385">
        <f>'[4]Cas anuladas TEEM'!O60</f>
        <v>627</v>
      </c>
      <c r="Y48" s="385">
        <v>0</v>
      </c>
      <c r="Z48" s="385">
        <v>0</v>
      </c>
      <c r="AA48" s="378"/>
    </row>
    <row r="49" spans="1:27">
      <c r="A49" s="379">
        <v>42</v>
      </c>
      <c r="B49" s="380" t="s">
        <v>64</v>
      </c>
      <c r="C49" s="381">
        <v>391</v>
      </c>
      <c r="D49" s="382">
        <f t="shared" si="0"/>
        <v>0.14804998106777736</v>
      </c>
      <c r="E49" s="383">
        <v>988</v>
      </c>
      <c r="F49" s="382">
        <f t="shared" si="1"/>
        <v>0.37410071942446044</v>
      </c>
      <c r="G49" s="383">
        <v>1173</v>
      </c>
      <c r="H49" s="382">
        <f t="shared" si="2"/>
        <v>0.44414994320333206</v>
      </c>
      <c r="I49" s="383">
        <v>18</v>
      </c>
      <c r="J49" s="382">
        <f t="shared" si="3"/>
        <v>6.815600151457781E-3</v>
      </c>
      <c r="K49" s="383">
        <v>0</v>
      </c>
      <c r="L49" s="382">
        <f t="shared" si="4"/>
        <v>0</v>
      </c>
      <c r="M49" s="383">
        <v>0</v>
      </c>
      <c r="N49" s="382">
        <f t="shared" si="5"/>
        <v>0</v>
      </c>
      <c r="O49" s="383">
        <v>6</v>
      </c>
      <c r="P49" s="382">
        <f t="shared" si="6"/>
        <v>2.2718667171525938E-3</v>
      </c>
      <c r="Q49" s="383">
        <v>0</v>
      </c>
      <c r="R49" s="382">
        <f t="shared" si="7"/>
        <v>0</v>
      </c>
      <c r="S49" s="383">
        <v>2</v>
      </c>
      <c r="T49" s="382">
        <f t="shared" si="8"/>
        <v>7.572889057175312E-4</v>
      </c>
      <c r="U49" s="383">
        <v>63</v>
      </c>
      <c r="V49" s="382">
        <f t="shared" si="9"/>
        <v>2.3854600530102233E-2</v>
      </c>
      <c r="W49" s="384">
        <f t="shared" si="10"/>
        <v>2641</v>
      </c>
      <c r="X49" s="385">
        <v>0</v>
      </c>
      <c r="Y49" s="385">
        <v>0</v>
      </c>
      <c r="Z49" s="385">
        <v>0</v>
      </c>
      <c r="AA49" s="378"/>
    </row>
    <row r="50" spans="1:27" ht="15.75">
      <c r="A50" s="379">
        <v>43</v>
      </c>
      <c r="B50" s="386" t="s">
        <v>589</v>
      </c>
      <c r="C50" s="381">
        <f>3867-'[4]Cas anuladas TEEM'!E65</f>
        <v>3745</v>
      </c>
      <c r="D50" s="382">
        <f t="shared" si="0"/>
        <v>0.10353884434614322</v>
      </c>
      <c r="E50" s="383">
        <f>14779-'[4]Cas anuladas TEEM'!F65</f>
        <v>14330</v>
      </c>
      <c r="F50" s="382">
        <f t="shared" si="1"/>
        <v>0.39618468343931434</v>
      </c>
      <c r="G50" s="383">
        <f>694-'[4]Cas anuladas TEEM'!G65</f>
        <v>668</v>
      </c>
      <c r="H50" s="382">
        <f t="shared" si="2"/>
        <v>1.8468343931434889E-2</v>
      </c>
      <c r="I50" s="383">
        <f>350-'[4]Cas anuladas TEEM'!H65</f>
        <v>334</v>
      </c>
      <c r="J50" s="382">
        <f t="shared" si="3"/>
        <v>9.2341719657174446E-3</v>
      </c>
      <c r="K50" s="383">
        <f>15280-'[4]Cas anuladas TEEM'!I65</f>
        <v>14603</v>
      </c>
      <c r="L50" s="382">
        <f t="shared" si="4"/>
        <v>0.40373237489632291</v>
      </c>
      <c r="M50" s="383">
        <f>219-'[4]Cas anuladas TEEM'!J65</f>
        <v>210</v>
      </c>
      <c r="N50" s="382">
        <f t="shared" si="5"/>
        <v>5.8059165053912084E-3</v>
      </c>
      <c r="O50" s="383">
        <f>190-'[4]Cas anuladas TEEM'!K65</f>
        <v>185</v>
      </c>
      <c r="P50" s="382">
        <f t="shared" si="6"/>
        <v>5.1147359690351122E-3</v>
      </c>
      <c r="Q50" s="383">
        <f>1-'[4]Cas anuladas TEEM'!L65</f>
        <v>1</v>
      </c>
      <c r="R50" s="382">
        <f t="shared" si="7"/>
        <v>2.764722145424385E-5</v>
      </c>
      <c r="S50" s="383">
        <f>7-'[4]Cas anuladas TEEM'!M65</f>
        <v>7</v>
      </c>
      <c r="T50" s="382">
        <f t="shared" si="8"/>
        <v>1.9353055017970694E-4</v>
      </c>
      <c r="U50" s="383">
        <f>2185-'[4]Cas anuladas TEEM'!N65</f>
        <v>2087</v>
      </c>
      <c r="V50" s="382">
        <f t="shared" si="9"/>
        <v>5.7699751175006912E-2</v>
      </c>
      <c r="W50" s="384">
        <f t="shared" si="10"/>
        <v>36170</v>
      </c>
      <c r="X50" s="385">
        <f>'[4]Cas anuladas TEEM'!O65</f>
        <v>1402</v>
      </c>
      <c r="Y50" s="385">
        <v>0</v>
      </c>
      <c r="Z50" s="385">
        <v>0</v>
      </c>
      <c r="AA50" s="378"/>
    </row>
    <row r="51" spans="1:27">
      <c r="A51" s="379">
        <v>44</v>
      </c>
      <c r="B51" s="380" t="s">
        <v>66</v>
      </c>
      <c r="C51" s="381">
        <v>896</v>
      </c>
      <c r="D51" s="382">
        <f t="shared" si="0"/>
        <v>0.18835400462476351</v>
      </c>
      <c r="E51" s="383">
        <v>1512</v>
      </c>
      <c r="F51" s="382">
        <f t="shared" si="1"/>
        <v>0.31784738280428843</v>
      </c>
      <c r="G51" s="383">
        <v>1215</v>
      </c>
      <c r="H51" s="382">
        <f t="shared" si="2"/>
        <v>0.25541307546773179</v>
      </c>
      <c r="I51" s="383">
        <v>1026</v>
      </c>
      <c r="J51" s="382">
        <f t="shared" si="3"/>
        <v>0.2156821526171957</v>
      </c>
      <c r="K51" s="383">
        <v>0</v>
      </c>
      <c r="L51" s="382">
        <f t="shared" si="4"/>
        <v>0</v>
      </c>
      <c r="M51" s="383">
        <v>16</v>
      </c>
      <c r="N51" s="382">
        <f t="shared" si="5"/>
        <v>3.3634643682993485E-3</v>
      </c>
      <c r="O51" s="383">
        <v>0</v>
      </c>
      <c r="P51" s="382">
        <f t="shared" si="6"/>
        <v>0</v>
      </c>
      <c r="Q51" s="383">
        <v>0</v>
      </c>
      <c r="R51" s="382">
        <f t="shared" si="7"/>
        <v>0</v>
      </c>
      <c r="S51" s="383">
        <v>1</v>
      </c>
      <c r="T51" s="382">
        <f t="shared" si="8"/>
        <v>2.1021652301870928E-4</v>
      </c>
      <c r="U51" s="383">
        <v>91</v>
      </c>
      <c r="V51" s="382">
        <f t="shared" si="9"/>
        <v>1.9129703594702542E-2</v>
      </c>
      <c r="W51" s="384">
        <f t="shared" si="10"/>
        <v>4757</v>
      </c>
      <c r="X51" s="385">
        <v>0</v>
      </c>
      <c r="Y51" s="385">
        <v>0</v>
      </c>
      <c r="Z51" s="385">
        <v>0</v>
      </c>
      <c r="AA51" s="378"/>
    </row>
    <row r="52" spans="1:27">
      <c r="A52" s="379">
        <v>45</v>
      </c>
      <c r="B52" s="380" t="s">
        <v>67</v>
      </c>
      <c r="C52" s="381">
        <v>1902</v>
      </c>
      <c r="D52" s="382">
        <f t="shared" si="0"/>
        <v>0.221034282393957</v>
      </c>
      <c r="E52" s="383">
        <v>3280</v>
      </c>
      <c r="F52" s="382">
        <f t="shared" si="1"/>
        <v>0.38117373619988376</v>
      </c>
      <c r="G52" s="383">
        <v>1649</v>
      </c>
      <c r="H52" s="382">
        <f t="shared" si="2"/>
        <v>0.1916327716443928</v>
      </c>
      <c r="I52" s="383">
        <v>442</v>
      </c>
      <c r="J52" s="382">
        <f t="shared" si="3"/>
        <v>5.1365485183033119E-2</v>
      </c>
      <c r="K52" s="383">
        <v>733</v>
      </c>
      <c r="L52" s="382">
        <f t="shared" si="4"/>
        <v>8.5183033120278903E-2</v>
      </c>
      <c r="M52" s="383">
        <v>100</v>
      </c>
      <c r="N52" s="382">
        <f t="shared" si="5"/>
        <v>1.1621150493898896E-2</v>
      </c>
      <c r="O52" s="383">
        <v>93</v>
      </c>
      <c r="P52" s="382">
        <f t="shared" si="6"/>
        <v>1.0807669959325973E-2</v>
      </c>
      <c r="Q52" s="383">
        <v>0</v>
      </c>
      <c r="R52" s="382">
        <f t="shared" si="7"/>
        <v>0</v>
      </c>
      <c r="S52" s="383">
        <v>1</v>
      </c>
      <c r="T52" s="382">
        <f t="shared" si="8"/>
        <v>1.1621150493898897E-4</v>
      </c>
      <c r="U52" s="383">
        <v>405</v>
      </c>
      <c r="V52" s="382">
        <f t="shared" si="9"/>
        <v>4.7065659500290527E-2</v>
      </c>
      <c r="W52" s="384">
        <f t="shared" si="10"/>
        <v>8605</v>
      </c>
      <c r="X52" s="385">
        <v>0</v>
      </c>
      <c r="Y52" s="385">
        <v>0</v>
      </c>
      <c r="Z52" s="385">
        <v>0</v>
      </c>
      <c r="AA52" s="378"/>
    </row>
    <row r="53" spans="1:27" ht="15">
      <c r="A53" s="379">
        <v>46</v>
      </c>
      <c r="B53" s="380" t="s">
        <v>590</v>
      </c>
      <c r="C53" s="381">
        <f>9080-'[4]Cas anuladas TEEM'!E66</f>
        <v>8926</v>
      </c>
      <c r="D53" s="382">
        <f t="shared" si="0"/>
        <v>0.35929638127440328</v>
      </c>
      <c r="E53" s="383">
        <f>14175-'[4]Cas anuladas TEEM'!F66</f>
        <v>13987</v>
      </c>
      <c r="F53" s="382">
        <f t="shared" si="1"/>
        <v>0.56301573883991463</v>
      </c>
      <c r="G53" s="383">
        <f>759-'[4]Cas anuladas TEEM'!G66</f>
        <v>759</v>
      </c>
      <c r="H53" s="382">
        <f t="shared" si="2"/>
        <v>3.055186571670088E-2</v>
      </c>
      <c r="I53" s="383">
        <f>246-'[4]Cas anuladas TEEM'!H66</f>
        <v>246</v>
      </c>
      <c r="J53" s="382">
        <f t="shared" si="3"/>
        <v>9.9021857263615499E-3</v>
      </c>
      <c r="K53" s="383">
        <f>3-'[4]Cas anuladas TEEM'!I66</f>
        <v>3</v>
      </c>
      <c r="L53" s="382">
        <f t="shared" si="4"/>
        <v>1.2075836251660427E-4</v>
      </c>
      <c r="M53" s="383">
        <f>71-'[4]Cas anuladas TEEM'!J66</f>
        <v>71</v>
      </c>
      <c r="N53" s="382">
        <f t="shared" si="5"/>
        <v>2.8579479128929678E-3</v>
      </c>
      <c r="O53" s="383">
        <f>96-'[4]Cas anuladas TEEM'!K66</f>
        <v>96</v>
      </c>
      <c r="P53" s="382">
        <f t="shared" si="6"/>
        <v>3.8642676005313367E-3</v>
      </c>
      <c r="Q53" s="383">
        <f>58-'[4]Cas anuladas TEEM'!L66</f>
        <v>58</v>
      </c>
      <c r="R53" s="382">
        <f t="shared" si="7"/>
        <v>2.3346616753210161E-3</v>
      </c>
      <c r="S53" s="383">
        <f>1-'[4]Cas anuladas TEEM'!M66</f>
        <v>1</v>
      </c>
      <c r="T53" s="382">
        <f t="shared" si="8"/>
        <v>4.0252787505534755E-5</v>
      </c>
      <c r="U53" s="383">
        <f>710-'[4]Cas anuladas TEEM'!N66</f>
        <v>696</v>
      </c>
      <c r="V53" s="382">
        <f t="shared" si="9"/>
        <v>2.801594010385219E-2</v>
      </c>
      <c r="W53" s="384">
        <f t="shared" si="10"/>
        <v>24843</v>
      </c>
      <c r="X53" s="385">
        <f>'[4]Cas anuladas TEEM'!O66</f>
        <v>356</v>
      </c>
      <c r="Y53" s="385">
        <v>0</v>
      </c>
      <c r="Z53" s="385">
        <v>0</v>
      </c>
    </row>
    <row r="54" spans="1:27">
      <c r="A54" s="379">
        <v>47</v>
      </c>
      <c r="B54" s="380" t="s">
        <v>69</v>
      </c>
      <c r="C54" s="381">
        <v>1115</v>
      </c>
      <c r="D54" s="382">
        <f t="shared" si="0"/>
        <v>0.19585455822940454</v>
      </c>
      <c r="E54" s="383">
        <v>2457</v>
      </c>
      <c r="F54" s="382">
        <f t="shared" si="1"/>
        <v>0.43158264535394342</v>
      </c>
      <c r="G54" s="383">
        <v>1885</v>
      </c>
      <c r="H54" s="382">
        <f t="shared" si="2"/>
        <v>0.33110837871069737</v>
      </c>
      <c r="I54" s="383">
        <v>84</v>
      </c>
      <c r="J54" s="382">
        <f t="shared" si="3"/>
        <v>1.4754962234322853E-2</v>
      </c>
      <c r="K54" s="383">
        <v>0</v>
      </c>
      <c r="L54" s="382">
        <f t="shared" si="4"/>
        <v>0</v>
      </c>
      <c r="M54" s="383">
        <v>0</v>
      </c>
      <c r="N54" s="382">
        <f t="shared" si="5"/>
        <v>0</v>
      </c>
      <c r="O54" s="383">
        <v>11</v>
      </c>
      <c r="P54" s="382">
        <f t="shared" si="6"/>
        <v>1.9321974354470403E-3</v>
      </c>
      <c r="Q54" s="383">
        <v>0</v>
      </c>
      <c r="R54" s="382">
        <f t="shared" si="7"/>
        <v>0</v>
      </c>
      <c r="S54" s="383">
        <v>3</v>
      </c>
      <c r="T54" s="382">
        <f t="shared" si="8"/>
        <v>5.2696293694010185E-4</v>
      </c>
      <c r="U54" s="383">
        <v>138</v>
      </c>
      <c r="V54" s="382">
        <f t="shared" si="9"/>
        <v>2.4240295099244687E-2</v>
      </c>
      <c r="W54" s="384">
        <f t="shared" si="10"/>
        <v>5693</v>
      </c>
      <c r="X54" s="385"/>
      <c r="Y54" s="385">
        <v>0</v>
      </c>
      <c r="Z54" s="385">
        <v>0</v>
      </c>
    </row>
    <row r="55" spans="1:27">
      <c r="A55" s="379">
        <v>48</v>
      </c>
      <c r="B55" s="380" t="s">
        <v>70</v>
      </c>
      <c r="C55" s="381">
        <v>520</v>
      </c>
      <c r="D55" s="382">
        <f t="shared" si="0"/>
        <v>2.6050799058163418E-2</v>
      </c>
      <c r="E55" s="383">
        <v>7638</v>
      </c>
      <c r="F55" s="382">
        <f t="shared" si="1"/>
        <v>0.38264616001202345</v>
      </c>
      <c r="G55" s="383">
        <v>2922</v>
      </c>
      <c r="H55" s="382">
        <f t="shared" si="2"/>
        <v>0.14638545163067981</v>
      </c>
      <c r="I55" s="383">
        <v>6318</v>
      </c>
      <c r="J55" s="382">
        <f t="shared" si="3"/>
        <v>0.31651720855668553</v>
      </c>
      <c r="K55" s="383">
        <v>1704</v>
      </c>
      <c r="L55" s="382">
        <f t="shared" si="4"/>
        <v>8.5366464605981671E-2</v>
      </c>
      <c r="M55" s="383">
        <v>100</v>
      </c>
      <c r="N55" s="382">
        <f t="shared" si="5"/>
        <v>5.0097690496468117E-3</v>
      </c>
      <c r="O55" s="383">
        <v>49</v>
      </c>
      <c r="P55" s="382">
        <f t="shared" si="6"/>
        <v>2.4547868343269374E-3</v>
      </c>
      <c r="Q55" s="383">
        <v>0</v>
      </c>
      <c r="R55" s="382">
        <f t="shared" si="7"/>
        <v>0</v>
      </c>
      <c r="S55" s="383">
        <v>11</v>
      </c>
      <c r="T55" s="382">
        <f t="shared" si="8"/>
        <v>5.5107459546114928E-4</v>
      </c>
      <c r="U55" s="383">
        <v>699</v>
      </c>
      <c r="V55" s="382">
        <f t="shared" si="9"/>
        <v>3.501828565703121E-2</v>
      </c>
      <c r="W55" s="384">
        <f t="shared" si="10"/>
        <v>19961</v>
      </c>
      <c r="X55" s="385">
        <v>0</v>
      </c>
      <c r="Y55" s="385">
        <v>0</v>
      </c>
      <c r="Z55" s="385">
        <v>0</v>
      </c>
    </row>
    <row r="56" spans="1:27">
      <c r="A56" s="379">
        <v>49</v>
      </c>
      <c r="B56" s="380" t="s">
        <v>591</v>
      </c>
      <c r="C56" s="381">
        <v>8799</v>
      </c>
      <c r="D56" s="382">
        <f t="shared" si="0"/>
        <v>0.4651125911830003</v>
      </c>
      <c r="E56" s="383">
        <v>7980</v>
      </c>
      <c r="F56" s="382">
        <f t="shared" si="1"/>
        <v>0.42182048842372344</v>
      </c>
      <c r="G56" s="383">
        <v>562</v>
      </c>
      <c r="H56" s="382">
        <f t="shared" si="2"/>
        <v>2.9707157204778518E-2</v>
      </c>
      <c r="I56" s="383">
        <v>187</v>
      </c>
      <c r="J56" s="382">
        <f t="shared" si="3"/>
        <v>9.8847658314832436E-3</v>
      </c>
      <c r="K56" s="383">
        <v>395</v>
      </c>
      <c r="L56" s="382">
        <f t="shared" si="4"/>
        <v>2.0879585579871022E-2</v>
      </c>
      <c r="M56" s="383">
        <v>41</v>
      </c>
      <c r="N56" s="382">
        <f t="shared" si="5"/>
        <v>2.1672481234802834E-3</v>
      </c>
      <c r="O56" s="383">
        <v>67</v>
      </c>
      <c r="P56" s="382">
        <f t="shared" si="6"/>
        <v>3.5416005920287557E-3</v>
      </c>
      <c r="Q56" s="383">
        <v>58</v>
      </c>
      <c r="R56" s="382">
        <f t="shared" si="7"/>
        <v>3.065863199069669E-3</v>
      </c>
      <c r="S56" s="383">
        <v>218</v>
      </c>
      <c r="T56" s="382">
        <f t="shared" si="8"/>
        <v>1.1523416851675653E-2</v>
      </c>
      <c r="U56" s="383">
        <v>611</v>
      </c>
      <c r="V56" s="382">
        <f t="shared" si="9"/>
        <v>3.2297283010889098E-2</v>
      </c>
      <c r="W56" s="384">
        <f t="shared" si="10"/>
        <v>18918</v>
      </c>
      <c r="X56" s="385">
        <v>0</v>
      </c>
      <c r="Y56" s="385">
        <v>0</v>
      </c>
      <c r="Z56" s="385">
        <v>0</v>
      </c>
    </row>
    <row r="57" spans="1:27">
      <c r="A57" s="379">
        <v>50</v>
      </c>
      <c r="B57" s="380" t="s">
        <v>72</v>
      </c>
      <c r="C57" s="381">
        <v>1882</v>
      </c>
      <c r="D57" s="382">
        <f t="shared" si="0"/>
        <v>0.40735930735930737</v>
      </c>
      <c r="E57" s="383">
        <v>1450</v>
      </c>
      <c r="F57" s="382">
        <f t="shared" si="1"/>
        <v>0.31385281385281383</v>
      </c>
      <c r="G57" s="383">
        <v>1015</v>
      </c>
      <c r="H57" s="382">
        <f t="shared" si="2"/>
        <v>0.2196969696969697</v>
      </c>
      <c r="I57" s="383">
        <v>97</v>
      </c>
      <c r="J57" s="382">
        <f t="shared" si="3"/>
        <v>2.0995670995670995E-2</v>
      </c>
      <c r="K57" s="383">
        <v>0</v>
      </c>
      <c r="L57" s="382">
        <f t="shared" si="4"/>
        <v>0</v>
      </c>
      <c r="M57" s="383">
        <v>8</v>
      </c>
      <c r="N57" s="382">
        <f t="shared" si="5"/>
        <v>1.7316017316017316E-3</v>
      </c>
      <c r="O57" s="383">
        <v>0</v>
      </c>
      <c r="P57" s="382">
        <f t="shared" si="6"/>
        <v>0</v>
      </c>
      <c r="Q57" s="383">
        <v>0</v>
      </c>
      <c r="R57" s="382">
        <f t="shared" si="7"/>
        <v>0</v>
      </c>
      <c r="S57" s="383">
        <v>0</v>
      </c>
      <c r="T57" s="382">
        <f t="shared" si="8"/>
        <v>0</v>
      </c>
      <c r="U57" s="383">
        <v>168</v>
      </c>
      <c r="V57" s="382">
        <f t="shared" si="9"/>
        <v>3.6363636363636362E-2</v>
      </c>
      <c r="W57" s="384">
        <f t="shared" si="10"/>
        <v>4620</v>
      </c>
      <c r="X57" s="385">
        <v>0</v>
      </c>
      <c r="Y57" s="385">
        <v>0</v>
      </c>
      <c r="Z57" s="385">
        <v>0</v>
      </c>
    </row>
    <row r="58" spans="1:27" ht="15.75">
      <c r="A58" s="379">
        <v>51</v>
      </c>
      <c r="B58" s="386" t="s">
        <v>592</v>
      </c>
      <c r="C58" s="387">
        <f>1092-'[4]Cas anuladas TEEM'!E67</f>
        <v>1035</v>
      </c>
      <c r="D58" s="382">
        <f t="shared" si="0"/>
        <v>0.14855748528778528</v>
      </c>
      <c r="E58" s="383">
        <f>1831-'[4]Cas anuladas TEEM'!F67</f>
        <v>1763</v>
      </c>
      <c r="F58" s="382">
        <f t="shared" si="1"/>
        <v>0.25305009329697142</v>
      </c>
      <c r="G58" s="383">
        <f>422-'[4]Cas anuladas TEEM'!G67</f>
        <v>379</v>
      </c>
      <c r="H58" s="382">
        <f t="shared" si="2"/>
        <v>5.4399311037749393E-2</v>
      </c>
      <c r="I58" s="383">
        <f>1799-'[4]Cas anuladas TEEM'!H67</f>
        <v>1664</v>
      </c>
      <c r="J58" s="382">
        <f t="shared" si="3"/>
        <v>0.23884024687813979</v>
      </c>
      <c r="K58" s="383">
        <f>970-'[4]Cas anuladas TEEM'!I67</f>
        <v>966</v>
      </c>
      <c r="L58" s="382">
        <f t="shared" si="4"/>
        <v>0.13865365293526624</v>
      </c>
      <c r="M58" s="383">
        <f>19-'[4]Cas anuladas TEEM'!J67</f>
        <v>17</v>
      </c>
      <c r="N58" s="382">
        <f t="shared" si="5"/>
        <v>2.4400746375771495E-3</v>
      </c>
      <c r="O58" s="383">
        <f>649-'[4]Cas anuladas TEEM'!K67</f>
        <v>593</v>
      </c>
      <c r="P58" s="382">
        <f t="shared" si="6"/>
        <v>8.5115544710779395E-2</v>
      </c>
      <c r="Q58" s="383">
        <f>408-'[4]Cas anuladas TEEM'!L67</f>
        <v>380</v>
      </c>
      <c r="R58" s="382">
        <f t="shared" si="7"/>
        <v>5.454284483995981E-2</v>
      </c>
      <c r="S58" s="383">
        <f>4-'[4]Cas anuladas TEEM'!M67</f>
        <v>4</v>
      </c>
      <c r="T58" s="382">
        <f t="shared" si="8"/>
        <v>5.7413520884168226E-4</v>
      </c>
      <c r="U58" s="383">
        <f>174-'[4]Cas anuladas TEEM'!N67</f>
        <v>166</v>
      </c>
      <c r="V58" s="382">
        <f t="shared" si="9"/>
        <v>2.3826611166929811E-2</v>
      </c>
      <c r="W58" s="384">
        <f t="shared" si="10"/>
        <v>6967</v>
      </c>
      <c r="X58" s="385">
        <f>'[4]Cas anuladas TEEM'!O67</f>
        <v>401</v>
      </c>
      <c r="Y58" s="385">
        <v>0</v>
      </c>
      <c r="Z58" s="385">
        <v>0</v>
      </c>
    </row>
    <row r="59" spans="1:27">
      <c r="A59" s="379">
        <v>52</v>
      </c>
      <c r="B59" s="380" t="s">
        <v>74</v>
      </c>
      <c r="C59" s="381">
        <v>9086</v>
      </c>
      <c r="D59" s="382">
        <f t="shared" si="0"/>
        <v>0.28022452504317791</v>
      </c>
      <c r="E59" s="383">
        <v>12705</v>
      </c>
      <c r="F59" s="382">
        <f t="shared" si="1"/>
        <v>0.39183937823834197</v>
      </c>
      <c r="G59" s="383">
        <v>5974</v>
      </c>
      <c r="H59" s="382">
        <f t="shared" si="2"/>
        <v>0.18424623735504564</v>
      </c>
      <c r="I59" s="383">
        <v>759</v>
      </c>
      <c r="J59" s="382">
        <f t="shared" si="3"/>
        <v>2.3408586232420429E-2</v>
      </c>
      <c r="K59" s="383">
        <v>348</v>
      </c>
      <c r="L59" s="382">
        <f t="shared" si="4"/>
        <v>1.0732790525536639E-2</v>
      </c>
      <c r="M59" s="383">
        <v>79</v>
      </c>
      <c r="N59" s="382">
        <f t="shared" si="5"/>
        <v>2.4364668147051566E-3</v>
      </c>
      <c r="O59" s="383">
        <v>1944</v>
      </c>
      <c r="P59" s="382">
        <f t="shared" si="6"/>
        <v>5.9955588452997782E-2</v>
      </c>
      <c r="Q59" s="383">
        <v>797</v>
      </c>
      <c r="R59" s="382">
        <f t="shared" si="7"/>
        <v>2.4580557611645695E-2</v>
      </c>
      <c r="S59" s="383">
        <v>1</v>
      </c>
      <c r="T59" s="382">
        <f t="shared" si="8"/>
        <v>3.08413520848754E-5</v>
      </c>
      <c r="U59" s="383">
        <v>731</v>
      </c>
      <c r="V59" s="382">
        <f t="shared" si="9"/>
        <v>2.2545028374043919E-2</v>
      </c>
      <c r="W59" s="384">
        <f t="shared" si="10"/>
        <v>32424</v>
      </c>
      <c r="X59" s="385">
        <v>0</v>
      </c>
      <c r="Y59" s="385">
        <v>0</v>
      </c>
      <c r="Z59" s="385">
        <v>0</v>
      </c>
    </row>
    <row r="60" spans="1:27">
      <c r="A60" s="379">
        <v>53</v>
      </c>
      <c r="B60" s="380" t="s">
        <v>75</v>
      </c>
      <c r="C60" s="381">
        <v>3585</v>
      </c>
      <c r="D60" s="382">
        <f t="shared" si="0"/>
        <v>0.45937980522808813</v>
      </c>
      <c r="E60" s="383">
        <v>2885</v>
      </c>
      <c r="F60" s="382">
        <f t="shared" si="1"/>
        <v>0.36968221424910302</v>
      </c>
      <c r="G60" s="383">
        <v>987</v>
      </c>
      <c r="H60" s="382">
        <f t="shared" si="2"/>
        <v>0.12647360328036905</v>
      </c>
      <c r="I60" s="383">
        <v>82</v>
      </c>
      <c r="J60" s="382">
        <f t="shared" si="3"/>
        <v>1.0507432086109688E-2</v>
      </c>
      <c r="K60" s="383">
        <v>0</v>
      </c>
      <c r="L60" s="382">
        <f t="shared" si="4"/>
        <v>0</v>
      </c>
      <c r="M60" s="383">
        <v>16</v>
      </c>
      <c r="N60" s="382">
        <f t="shared" si="5"/>
        <v>2.0502306509482316E-3</v>
      </c>
      <c r="O60" s="383">
        <v>0</v>
      </c>
      <c r="P60" s="382">
        <f t="shared" si="6"/>
        <v>0</v>
      </c>
      <c r="Q60" s="383">
        <v>0</v>
      </c>
      <c r="R60" s="382">
        <f t="shared" si="7"/>
        <v>0</v>
      </c>
      <c r="S60" s="383">
        <v>3</v>
      </c>
      <c r="T60" s="382">
        <f t="shared" si="8"/>
        <v>3.8441824705279346E-4</v>
      </c>
      <c r="U60" s="383">
        <v>246</v>
      </c>
      <c r="V60" s="382">
        <f t="shared" si="9"/>
        <v>3.1522296258329065E-2</v>
      </c>
      <c r="W60" s="384">
        <f t="shared" si="10"/>
        <v>7804</v>
      </c>
      <c r="X60" s="385">
        <v>0</v>
      </c>
      <c r="Y60" s="385">
        <v>0</v>
      </c>
      <c r="Z60" s="385">
        <v>0</v>
      </c>
    </row>
    <row r="61" spans="1:27">
      <c r="A61" s="379">
        <v>54</v>
      </c>
      <c r="B61" s="380" t="s">
        <v>76</v>
      </c>
      <c r="C61" s="381">
        <v>3459</v>
      </c>
      <c r="D61" s="382">
        <f t="shared" si="0"/>
        <v>0.25085212850823119</v>
      </c>
      <c r="E61" s="383">
        <v>5249</v>
      </c>
      <c r="F61" s="382">
        <f t="shared" si="1"/>
        <v>0.38066574806004788</v>
      </c>
      <c r="G61" s="383">
        <v>3991</v>
      </c>
      <c r="H61" s="382">
        <f t="shared" si="2"/>
        <v>0.28943360649793315</v>
      </c>
      <c r="I61" s="383">
        <v>61</v>
      </c>
      <c r="J61" s="382">
        <f t="shared" si="3"/>
        <v>4.4238160852853722E-3</v>
      </c>
      <c r="K61" s="383">
        <v>728</v>
      </c>
      <c r="L61" s="382">
        <f t="shared" si="4"/>
        <v>5.2795706722750017E-2</v>
      </c>
      <c r="M61" s="383">
        <v>1</v>
      </c>
      <c r="N61" s="382">
        <f t="shared" si="5"/>
        <v>7.2521575168612667E-5</v>
      </c>
      <c r="O61" s="383">
        <v>39</v>
      </c>
      <c r="P61" s="382">
        <f t="shared" si="6"/>
        <v>2.8283414315758938E-3</v>
      </c>
      <c r="Q61" s="383">
        <v>1</v>
      </c>
      <c r="R61" s="382">
        <f t="shared" si="7"/>
        <v>7.2521575168612667E-5</v>
      </c>
      <c r="S61" s="383">
        <v>4</v>
      </c>
      <c r="T61" s="382">
        <f t="shared" si="8"/>
        <v>2.9008630067445067E-4</v>
      </c>
      <c r="U61" s="383">
        <v>256</v>
      </c>
      <c r="V61" s="382">
        <f t="shared" si="9"/>
        <v>1.8565523243164843E-2</v>
      </c>
      <c r="W61" s="384">
        <f t="shared" si="10"/>
        <v>13789</v>
      </c>
      <c r="X61" s="385">
        <v>0</v>
      </c>
      <c r="Y61" s="385">
        <v>0</v>
      </c>
      <c r="Z61" s="385">
        <v>0</v>
      </c>
    </row>
    <row r="62" spans="1:27" ht="15">
      <c r="A62" s="379">
        <v>55</v>
      </c>
      <c r="B62" s="380" t="s">
        <v>593</v>
      </c>
      <c r="C62" s="381">
        <f>20016-'[4]Cas anuladas TEEM'!E70</f>
        <v>19857</v>
      </c>
      <c r="D62" s="382">
        <f t="shared" si="0"/>
        <v>0.31417812445611759</v>
      </c>
      <c r="E62" s="383">
        <f>17498-'[4]Cas anuladas TEEM'!F70</f>
        <v>17323</v>
      </c>
      <c r="F62" s="382">
        <f t="shared" si="1"/>
        <v>0.27408509089758398</v>
      </c>
      <c r="G62" s="383">
        <f>3915-'[4]Cas anuladas TEEM'!G70</f>
        <v>3889</v>
      </c>
      <c r="H62" s="382">
        <f t="shared" si="2"/>
        <v>6.1531889309051783E-2</v>
      </c>
      <c r="I62" s="383">
        <f>15885-'[4]Cas anuladas TEEM'!H70</f>
        <v>15728</v>
      </c>
      <c r="J62" s="382">
        <f t="shared" si="3"/>
        <v>0.24884894704365298</v>
      </c>
      <c r="K62" s="383">
        <f>642-'[4]Cas anuladas TEEM'!I70</f>
        <v>634</v>
      </c>
      <c r="L62" s="382">
        <f t="shared" si="4"/>
        <v>1.0031169406515513E-2</v>
      </c>
      <c r="M62" s="383">
        <f>3942-'[4]Cas anuladas TEEM'!J70</f>
        <v>3903</v>
      </c>
      <c r="N62" s="382">
        <f t="shared" si="5"/>
        <v>6.1753397781750867E-2</v>
      </c>
      <c r="O62" s="383">
        <f>255-'[4]Cas anuladas TEEM'!K70</f>
        <v>251</v>
      </c>
      <c r="P62" s="382">
        <f t="shared" si="6"/>
        <v>3.9713304748192329E-3</v>
      </c>
      <c r="Q62" s="383">
        <f>372-'[4]Cas anuladas TEEM'!L70</f>
        <v>371</v>
      </c>
      <c r="R62" s="382">
        <f t="shared" si="7"/>
        <v>5.86997452652564E-3</v>
      </c>
      <c r="S62" s="383">
        <f>21-'[4]Cas anuladas TEEM'!M70</f>
        <v>21</v>
      </c>
      <c r="T62" s="382">
        <f t="shared" si="8"/>
        <v>3.3226270904862108E-4</v>
      </c>
      <c r="U62" s="383">
        <f>1242-'[4]Cas anuladas TEEM'!N70</f>
        <v>1226</v>
      </c>
      <c r="V62" s="382">
        <f t="shared" si="9"/>
        <v>1.9397813394933783E-2</v>
      </c>
      <c r="W62" s="384">
        <f t="shared" si="10"/>
        <v>63203</v>
      </c>
      <c r="X62" s="385">
        <f>'[4]Cas anuladas TEEM'!O70</f>
        <v>585</v>
      </c>
      <c r="Y62" s="385">
        <v>0</v>
      </c>
      <c r="Z62" s="385">
        <v>0</v>
      </c>
    </row>
    <row r="63" spans="1:27">
      <c r="A63" s="379">
        <v>56</v>
      </c>
      <c r="B63" s="380" t="s">
        <v>77</v>
      </c>
      <c r="C63" s="381">
        <v>69</v>
      </c>
      <c r="D63" s="382">
        <f t="shared" si="0"/>
        <v>1.791277258566978E-2</v>
      </c>
      <c r="E63" s="383">
        <v>1677</v>
      </c>
      <c r="F63" s="382">
        <f t="shared" si="1"/>
        <v>0.43535825545171342</v>
      </c>
      <c r="G63" s="383">
        <v>137</v>
      </c>
      <c r="H63" s="382">
        <f t="shared" si="2"/>
        <v>3.5565939771547248E-2</v>
      </c>
      <c r="I63" s="383">
        <v>1210</v>
      </c>
      <c r="J63" s="382">
        <f t="shared" si="3"/>
        <v>0.31412253374870197</v>
      </c>
      <c r="K63" s="383">
        <v>693</v>
      </c>
      <c r="L63" s="382">
        <f t="shared" si="4"/>
        <v>0.17990654205607476</v>
      </c>
      <c r="M63" s="383">
        <v>4</v>
      </c>
      <c r="N63" s="382">
        <f t="shared" si="5"/>
        <v>1.0384215991692627E-3</v>
      </c>
      <c r="O63" s="383">
        <v>0</v>
      </c>
      <c r="P63" s="382">
        <f t="shared" si="6"/>
        <v>0</v>
      </c>
      <c r="Q63" s="383">
        <v>0</v>
      </c>
      <c r="R63" s="382">
        <f t="shared" si="7"/>
        <v>0</v>
      </c>
      <c r="S63" s="383">
        <v>0</v>
      </c>
      <c r="T63" s="382">
        <f t="shared" si="8"/>
        <v>0</v>
      </c>
      <c r="U63" s="383">
        <v>62</v>
      </c>
      <c r="V63" s="382">
        <f t="shared" si="9"/>
        <v>1.6095534787123573E-2</v>
      </c>
      <c r="W63" s="384">
        <f t="shared" si="10"/>
        <v>3852</v>
      </c>
      <c r="X63" s="385">
        <v>0</v>
      </c>
      <c r="Y63" s="385">
        <v>0</v>
      </c>
      <c r="Z63" s="385">
        <v>0</v>
      </c>
    </row>
    <row r="64" spans="1:27">
      <c r="A64" s="379">
        <v>57</v>
      </c>
      <c r="B64" s="380" t="s">
        <v>78</v>
      </c>
      <c r="C64" s="381">
        <v>522</v>
      </c>
      <c r="D64" s="382">
        <f t="shared" si="0"/>
        <v>5.4878048780487805E-2</v>
      </c>
      <c r="E64" s="383">
        <v>3899</v>
      </c>
      <c r="F64" s="382">
        <f t="shared" si="1"/>
        <v>0.40990328006728344</v>
      </c>
      <c r="G64" s="383">
        <v>3147</v>
      </c>
      <c r="H64" s="382">
        <f t="shared" si="2"/>
        <v>0.33084524810765348</v>
      </c>
      <c r="I64" s="383">
        <v>142</v>
      </c>
      <c r="J64" s="382">
        <f t="shared" si="3"/>
        <v>1.4928511354079058E-2</v>
      </c>
      <c r="K64" s="383">
        <v>1187</v>
      </c>
      <c r="L64" s="382">
        <f t="shared" si="4"/>
        <v>0.12478973927670312</v>
      </c>
      <c r="M64" s="383">
        <v>44</v>
      </c>
      <c r="N64" s="382">
        <f t="shared" si="5"/>
        <v>4.6257359125315388E-3</v>
      </c>
      <c r="O64" s="383">
        <v>27</v>
      </c>
      <c r="P64" s="382">
        <f t="shared" si="6"/>
        <v>2.8385197645079898E-3</v>
      </c>
      <c r="Q64" s="383">
        <v>0</v>
      </c>
      <c r="R64" s="382">
        <f t="shared" si="7"/>
        <v>0</v>
      </c>
      <c r="S64" s="383">
        <v>5</v>
      </c>
      <c r="T64" s="382">
        <f t="shared" si="8"/>
        <v>5.2565180824222036E-4</v>
      </c>
      <c r="U64" s="383">
        <v>539</v>
      </c>
      <c r="V64" s="382">
        <f t="shared" si="9"/>
        <v>5.6665264928511351E-2</v>
      </c>
      <c r="W64" s="384">
        <f t="shared" si="10"/>
        <v>9512</v>
      </c>
      <c r="X64" s="385">
        <v>0</v>
      </c>
      <c r="Y64" s="385">
        <v>0</v>
      </c>
      <c r="Z64" s="385">
        <v>0</v>
      </c>
    </row>
    <row r="65" spans="1:26" ht="15">
      <c r="A65" s="379">
        <v>58</v>
      </c>
      <c r="B65" s="380" t="s">
        <v>594</v>
      </c>
      <c r="C65" s="381">
        <f>101031-'[4]Cas anuladas TEEM'!E80</f>
        <v>100253</v>
      </c>
      <c r="D65" s="382">
        <f t="shared" si="0"/>
        <v>0.46761975838425301</v>
      </c>
      <c r="E65" s="383">
        <f>60669-'[4]Cas anuladas TEEM'!F80</f>
        <v>60114</v>
      </c>
      <c r="F65" s="382">
        <f t="shared" si="1"/>
        <v>0.28039554083679274</v>
      </c>
      <c r="G65" s="383">
        <f>34214-'[4]Cas anuladas TEEM'!G80</f>
        <v>33878</v>
      </c>
      <c r="H65" s="382">
        <f t="shared" si="2"/>
        <v>0.15802043005737207</v>
      </c>
      <c r="I65" s="383">
        <f>1878-'[4]Cas anuladas TEEM'!H80</f>
        <v>1864</v>
      </c>
      <c r="J65" s="382">
        <f t="shared" si="3"/>
        <v>8.6944353747842717E-3</v>
      </c>
      <c r="K65" s="383">
        <f>2192-'[4]Cas anuladas TEEM'!I80</f>
        <v>2180</v>
      </c>
      <c r="L65" s="382">
        <f t="shared" si="4"/>
        <v>1.0168384719436541E-2</v>
      </c>
      <c r="M65" s="383">
        <f>835-'[4]Cas anuladas TEEM'!J80</f>
        <v>828</v>
      </c>
      <c r="N65" s="382">
        <f t="shared" si="5"/>
        <v>3.8621204347217687E-3</v>
      </c>
      <c r="O65" s="383">
        <f>3357-'[4]Cas anuladas TEEM'!K80</f>
        <v>3337</v>
      </c>
      <c r="P65" s="382">
        <f t="shared" si="6"/>
        <v>1.5565091655394376E-2</v>
      </c>
      <c r="Q65" s="383">
        <f>4771-'[4]Cas anuladas TEEM'!L80</f>
        <v>4725</v>
      </c>
      <c r="R65" s="382">
        <f t="shared" si="7"/>
        <v>2.2039274219879657E-2</v>
      </c>
      <c r="S65" s="383">
        <f>1304-'[4]Cas anuladas TEEM'!M80</f>
        <v>1304</v>
      </c>
      <c r="T65" s="382">
        <f t="shared" si="8"/>
        <v>6.0823732450207566E-3</v>
      </c>
      <c r="U65" s="383">
        <f>5943-'[4]Cas anuladas TEEM'!N80</f>
        <v>5907</v>
      </c>
      <c r="V65" s="382">
        <f t="shared" si="9"/>
        <v>2.7552591072344791E-2</v>
      </c>
      <c r="W65" s="384">
        <f t="shared" si="10"/>
        <v>214390</v>
      </c>
      <c r="X65" s="385">
        <f>'[4]Cas anuladas TEEM'!O80</f>
        <v>1804</v>
      </c>
      <c r="Y65" s="385">
        <v>0</v>
      </c>
      <c r="Z65" s="385">
        <v>0</v>
      </c>
    </row>
    <row r="66" spans="1:26">
      <c r="A66" s="379">
        <v>59</v>
      </c>
      <c r="B66" s="380" t="s">
        <v>79</v>
      </c>
      <c r="C66" s="381">
        <v>1067</v>
      </c>
      <c r="D66" s="382">
        <f t="shared" si="0"/>
        <v>0.19925303454715221</v>
      </c>
      <c r="E66" s="383">
        <v>2716</v>
      </c>
      <c r="F66" s="382">
        <f t="shared" si="1"/>
        <v>0.50718954248366011</v>
      </c>
      <c r="G66" s="383">
        <v>1364</v>
      </c>
      <c r="H66" s="382">
        <f t="shared" si="2"/>
        <v>0.25471521942110176</v>
      </c>
      <c r="I66" s="383">
        <v>47</v>
      </c>
      <c r="J66" s="382">
        <f t="shared" si="3"/>
        <v>8.7768440709617181E-3</v>
      </c>
      <c r="K66" s="383">
        <v>0</v>
      </c>
      <c r="L66" s="382">
        <f t="shared" si="4"/>
        <v>0</v>
      </c>
      <c r="M66" s="383">
        <v>0</v>
      </c>
      <c r="N66" s="382">
        <f t="shared" si="5"/>
        <v>0</v>
      </c>
      <c r="O66" s="383">
        <v>26</v>
      </c>
      <c r="P66" s="382">
        <f t="shared" si="6"/>
        <v>4.8552754435107377E-3</v>
      </c>
      <c r="Q66" s="383">
        <v>0</v>
      </c>
      <c r="R66" s="382">
        <f t="shared" si="7"/>
        <v>0</v>
      </c>
      <c r="S66" s="383">
        <v>0</v>
      </c>
      <c r="T66" s="382">
        <f t="shared" si="8"/>
        <v>0</v>
      </c>
      <c r="U66" s="383">
        <v>135</v>
      </c>
      <c r="V66" s="382">
        <f t="shared" si="9"/>
        <v>2.5210084033613446E-2</v>
      </c>
      <c r="W66" s="384">
        <f t="shared" si="10"/>
        <v>5355</v>
      </c>
      <c r="X66" s="385">
        <v>0</v>
      </c>
      <c r="Y66" s="385">
        <v>0</v>
      </c>
      <c r="Z66" s="385">
        <v>0</v>
      </c>
    </row>
    <row r="67" spans="1:26">
      <c r="A67" s="379">
        <v>60</v>
      </c>
      <c r="B67" s="380" t="s">
        <v>595</v>
      </c>
      <c r="C67" s="381">
        <v>44025</v>
      </c>
      <c r="D67" s="382">
        <f t="shared" si="0"/>
        <v>0.14982184727530126</v>
      </c>
      <c r="E67" s="383">
        <v>79144</v>
      </c>
      <c r="F67" s="382">
        <f t="shared" si="1"/>
        <v>0.26933561114722188</v>
      </c>
      <c r="G67" s="383">
        <v>148949</v>
      </c>
      <c r="H67" s="382">
        <f t="shared" si="2"/>
        <v>0.50688959295420433</v>
      </c>
      <c r="I67" s="383">
        <v>3596</v>
      </c>
      <c r="J67" s="382">
        <f t="shared" si="3"/>
        <v>1.2237577803565778E-2</v>
      </c>
      <c r="K67" s="383">
        <v>3982</v>
      </c>
      <c r="L67" s="382">
        <f t="shared" si="4"/>
        <v>1.3551177645661548E-2</v>
      </c>
      <c r="M67" s="383">
        <v>1273</v>
      </c>
      <c r="N67" s="382">
        <f t="shared" si="5"/>
        <v>4.3321569921966722E-3</v>
      </c>
      <c r="O67" s="383">
        <v>1746</v>
      </c>
      <c r="P67" s="382">
        <f t="shared" si="6"/>
        <v>5.9418272650238729E-3</v>
      </c>
      <c r="Q67" s="383">
        <v>1661</v>
      </c>
      <c r="R67" s="382">
        <f t="shared" si="7"/>
        <v>5.6525630510908661E-3</v>
      </c>
      <c r="S67" s="383">
        <v>1285</v>
      </c>
      <c r="T67" s="382">
        <f t="shared" si="8"/>
        <v>4.3729942929872142E-3</v>
      </c>
      <c r="U67" s="383">
        <v>8188</v>
      </c>
      <c r="V67" s="382">
        <f t="shared" si="9"/>
        <v>2.7864651572746545E-2</v>
      </c>
      <c r="W67" s="384">
        <f t="shared" si="10"/>
        <v>293849</v>
      </c>
      <c r="X67" s="385">
        <v>0</v>
      </c>
      <c r="Y67" s="385">
        <v>0</v>
      </c>
      <c r="Z67" s="385">
        <v>0</v>
      </c>
    </row>
    <row r="68" spans="1:26">
      <c r="A68" s="379">
        <v>61</v>
      </c>
      <c r="B68" s="380" t="s">
        <v>596</v>
      </c>
      <c r="C68" s="381">
        <v>39015</v>
      </c>
      <c r="D68" s="382">
        <f t="shared" si="0"/>
        <v>0.49181877773295685</v>
      </c>
      <c r="E68" s="383">
        <v>24828</v>
      </c>
      <c r="F68" s="382">
        <f t="shared" si="1"/>
        <v>0.31297902379991932</v>
      </c>
      <c r="G68" s="383">
        <v>4341</v>
      </c>
      <c r="H68" s="382">
        <f t="shared" si="2"/>
        <v>5.4722166196046793E-2</v>
      </c>
      <c r="I68" s="383">
        <v>3420</v>
      </c>
      <c r="J68" s="382">
        <f t="shared" si="3"/>
        <v>4.3112141992739009E-2</v>
      </c>
      <c r="K68" s="383">
        <v>3615</v>
      </c>
      <c r="L68" s="382">
        <f t="shared" si="4"/>
        <v>4.5570290439693427E-2</v>
      </c>
      <c r="M68" s="383">
        <v>544</v>
      </c>
      <c r="N68" s="382">
        <f t="shared" si="5"/>
        <v>6.8576038725292453E-3</v>
      </c>
      <c r="O68" s="383">
        <v>488</v>
      </c>
      <c r="P68" s="382">
        <f t="shared" si="6"/>
        <v>6.1516740621218235E-3</v>
      </c>
      <c r="Q68" s="383">
        <v>748</v>
      </c>
      <c r="R68" s="382">
        <f t="shared" si="7"/>
        <v>9.429205324727713E-3</v>
      </c>
      <c r="S68" s="383">
        <v>26</v>
      </c>
      <c r="T68" s="382">
        <f t="shared" si="8"/>
        <v>3.2775312626058897E-4</v>
      </c>
      <c r="U68" s="383">
        <v>2303</v>
      </c>
      <c r="V68" s="382">
        <f t="shared" si="9"/>
        <v>2.9031363453005245E-2</v>
      </c>
      <c r="W68" s="384">
        <f t="shared" si="10"/>
        <v>79328</v>
      </c>
      <c r="X68" s="385">
        <v>0</v>
      </c>
      <c r="Y68" s="385">
        <v>0</v>
      </c>
      <c r="Z68" s="385">
        <v>0</v>
      </c>
    </row>
    <row r="69" spans="1:26">
      <c r="A69" s="379">
        <v>62</v>
      </c>
      <c r="B69" s="380" t="s">
        <v>82</v>
      </c>
      <c r="C69" s="381">
        <v>1677</v>
      </c>
      <c r="D69" s="382">
        <f t="shared" si="0"/>
        <v>0.46390041493775935</v>
      </c>
      <c r="E69" s="383">
        <v>1365</v>
      </c>
      <c r="F69" s="382">
        <f t="shared" si="1"/>
        <v>0.37759336099585061</v>
      </c>
      <c r="G69" s="383">
        <v>306</v>
      </c>
      <c r="H69" s="382">
        <f t="shared" si="2"/>
        <v>8.464730290456432E-2</v>
      </c>
      <c r="I69" s="383">
        <v>146</v>
      </c>
      <c r="J69" s="382">
        <f t="shared" si="3"/>
        <v>4.0387275242047029E-2</v>
      </c>
      <c r="K69" s="383">
        <v>0</v>
      </c>
      <c r="L69" s="382">
        <f t="shared" si="4"/>
        <v>0</v>
      </c>
      <c r="M69" s="383">
        <v>0</v>
      </c>
      <c r="N69" s="382">
        <f t="shared" si="5"/>
        <v>0</v>
      </c>
      <c r="O69" s="383">
        <v>0</v>
      </c>
      <c r="P69" s="382">
        <f t="shared" si="6"/>
        <v>0</v>
      </c>
      <c r="Q69" s="383">
        <v>22</v>
      </c>
      <c r="R69" s="382">
        <f t="shared" si="7"/>
        <v>6.0857538035961273E-3</v>
      </c>
      <c r="S69" s="383">
        <v>2</v>
      </c>
      <c r="T69" s="382">
        <f t="shared" si="8"/>
        <v>5.532503457814661E-4</v>
      </c>
      <c r="U69" s="383">
        <v>97</v>
      </c>
      <c r="V69" s="382">
        <f t="shared" si="9"/>
        <v>2.6832641770401105E-2</v>
      </c>
      <c r="W69" s="384">
        <f t="shared" si="10"/>
        <v>3615</v>
      </c>
      <c r="X69" s="385">
        <v>0</v>
      </c>
      <c r="Y69" s="385">
        <v>0</v>
      </c>
      <c r="Z69" s="385">
        <v>0</v>
      </c>
    </row>
    <row r="70" spans="1:26" ht="15">
      <c r="A70" s="379">
        <v>63</v>
      </c>
      <c r="B70" s="380" t="s">
        <v>597</v>
      </c>
      <c r="C70" s="381">
        <f>3025-'[4]Cas anuladas TEEM'!E81</f>
        <v>2961</v>
      </c>
      <c r="D70" s="382">
        <f t="shared" si="0"/>
        <v>0.17256250364240341</v>
      </c>
      <c r="E70" s="383">
        <f>4981-'[4]Cas anuladas TEEM'!F81</f>
        <v>4906</v>
      </c>
      <c r="F70" s="382">
        <f t="shared" si="1"/>
        <v>0.28591409755813274</v>
      </c>
      <c r="G70" s="383">
        <f>3804-'[4]Cas anuladas TEEM'!G81</f>
        <v>3736</v>
      </c>
      <c r="H70" s="382">
        <f t="shared" si="2"/>
        <v>0.21772830584532898</v>
      </c>
      <c r="I70" s="383">
        <f>2292-'[4]Cas anuladas TEEM'!H81</f>
        <v>2225</v>
      </c>
      <c r="J70" s="382">
        <f t="shared" si="3"/>
        <v>0.12966956116323794</v>
      </c>
      <c r="K70" s="383">
        <f>465-'[4]Cas anuladas TEEM'!I81</f>
        <v>453</v>
      </c>
      <c r="L70" s="382">
        <f t="shared" si="4"/>
        <v>2.6400139868290692E-2</v>
      </c>
      <c r="M70" s="383">
        <f>2118-'[4]Cas anuladas TEEM'!J81</f>
        <v>2101</v>
      </c>
      <c r="N70" s="382">
        <f t="shared" si="5"/>
        <v>0.12244303281076986</v>
      </c>
      <c r="O70" s="383">
        <f>200-'[4]Cas anuladas TEEM'!K81</f>
        <v>200</v>
      </c>
      <c r="P70" s="382">
        <f t="shared" si="6"/>
        <v>1.1655690891077569E-2</v>
      </c>
      <c r="Q70" s="383">
        <f>96-'[4]Cas anuladas TEEM'!L81</f>
        <v>96</v>
      </c>
      <c r="R70" s="382">
        <f t="shared" si="7"/>
        <v>5.5947316277172327E-3</v>
      </c>
      <c r="S70" s="383">
        <f>0-'[4]Cas anuladas TEEM'!M81</f>
        <v>0</v>
      </c>
      <c r="T70" s="382">
        <f t="shared" si="8"/>
        <v>0</v>
      </c>
      <c r="U70" s="383">
        <f>502-'[4]Cas anuladas TEEM'!N81</f>
        <v>481</v>
      </c>
      <c r="V70" s="382">
        <f t="shared" si="9"/>
        <v>2.8031936593041554E-2</v>
      </c>
      <c r="W70" s="384">
        <f t="shared" si="10"/>
        <v>17159</v>
      </c>
      <c r="X70" s="385">
        <f>'[4]Cas anuladas TEEM'!O81</f>
        <v>324</v>
      </c>
      <c r="Y70" s="385">
        <v>0</v>
      </c>
      <c r="Z70" s="385">
        <v>0</v>
      </c>
    </row>
    <row r="71" spans="1:26">
      <c r="A71" s="379">
        <v>64</v>
      </c>
      <c r="B71" s="380" t="s">
        <v>84</v>
      </c>
      <c r="C71" s="381">
        <v>314</v>
      </c>
      <c r="D71" s="382">
        <f t="shared" si="0"/>
        <v>3.9576506175951598E-2</v>
      </c>
      <c r="E71" s="383">
        <v>2810</v>
      </c>
      <c r="F71" s="382">
        <f t="shared" si="1"/>
        <v>0.3541719183261911</v>
      </c>
      <c r="G71" s="383">
        <v>2150</v>
      </c>
      <c r="H71" s="382">
        <f t="shared" si="2"/>
        <v>0.27098563145954119</v>
      </c>
      <c r="I71" s="383">
        <v>2317</v>
      </c>
      <c r="J71" s="382">
        <f t="shared" si="3"/>
        <v>0.29203428283337535</v>
      </c>
      <c r="K71" s="383">
        <v>0</v>
      </c>
      <c r="L71" s="382">
        <f t="shared" si="4"/>
        <v>0</v>
      </c>
      <c r="M71" s="383">
        <v>11</v>
      </c>
      <c r="N71" s="382">
        <f t="shared" si="5"/>
        <v>1.3864381144441643E-3</v>
      </c>
      <c r="O71" s="383">
        <v>0</v>
      </c>
      <c r="P71" s="382">
        <f t="shared" si="6"/>
        <v>0</v>
      </c>
      <c r="Q71" s="383">
        <v>0</v>
      </c>
      <c r="R71" s="382">
        <f t="shared" si="7"/>
        <v>0</v>
      </c>
      <c r="S71" s="383">
        <v>30</v>
      </c>
      <c r="T71" s="382">
        <f t="shared" si="8"/>
        <v>3.7811948575749935E-3</v>
      </c>
      <c r="U71" s="383">
        <v>302</v>
      </c>
      <c r="V71" s="382">
        <f t="shared" si="9"/>
        <v>3.8064028232921605E-2</v>
      </c>
      <c r="W71" s="384">
        <f t="shared" si="10"/>
        <v>7934</v>
      </c>
      <c r="X71" s="385">
        <v>0</v>
      </c>
      <c r="Y71" s="385">
        <v>0</v>
      </c>
      <c r="Z71" s="385">
        <v>0</v>
      </c>
    </row>
    <row r="72" spans="1:26" ht="15">
      <c r="A72" s="379">
        <v>65</v>
      </c>
      <c r="B72" s="380" t="s">
        <v>598</v>
      </c>
      <c r="C72" s="381">
        <f>2544-'[4]Cas anuladas TEEM'!E82</f>
        <v>2513</v>
      </c>
      <c r="D72" s="382">
        <f t="shared" ref="D72:D131" si="11">C72/$W72</f>
        <v>0.26773918602173452</v>
      </c>
      <c r="E72" s="383">
        <f>3568-'[4]Cas anuladas TEEM'!F82</f>
        <v>3450</v>
      </c>
      <c r="F72" s="382">
        <f t="shared" ref="F72:F131" si="12">E72/$W72</f>
        <v>0.36756871936927338</v>
      </c>
      <c r="G72" s="383">
        <f>2370-'[4]Cas anuladas TEEM'!G82</f>
        <v>2253</v>
      </c>
      <c r="H72" s="382">
        <f t="shared" ref="H72:H131" si="13">G72/$W72</f>
        <v>0.24003835499680376</v>
      </c>
      <c r="I72" s="383">
        <f>101-'[4]Cas anuladas TEEM'!H82</f>
        <v>100</v>
      </c>
      <c r="J72" s="382">
        <f t="shared" ref="J72:J131" si="14">I72/$W72</f>
        <v>1.0654165778819518E-2</v>
      </c>
      <c r="K72" s="383">
        <f>0-'[4]Cas anuladas TEEM'!I82</f>
        <v>0</v>
      </c>
      <c r="L72" s="382">
        <f t="shared" ref="L72:L131" si="15">K72/$W72</f>
        <v>0</v>
      </c>
      <c r="M72" s="383">
        <f>80-'[4]Cas anuladas TEEM'!J82</f>
        <v>79</v>
      </c>
      <c r="N72" s="382">
        <f t="shared" ref="N72:N131" si="16">M72/$W72</f>
        <v>8.4167909652674202E-3</v>
      </c>
      <c r="O72" s="383">
        <f>358-'[4]Cas anuladas TEEM'!K82</f>
        <v>348</v>
      </c>
      <c r="P72" s="382">
        <f t="shared" ref="P72:P131" si="17">O72/W72</f>
        <v>3.7076496910291926E-2</v>
      </c>
      <c r="Q72" s="383">
        <f>82-'[4]Cas anuladas TEEM'!L82</f>
        <v>81</v>
      </c>
      <c r="R72" s="382">
        <f t="shared" ref="R72:R131" si="18">Q72/$W72</f>
        <v>8.6298742808438092E-3</v>
      </c>
      <c r="S72" s="383">
        <f>0-'[4]Cas anuladas TEEM'!M82</f>
        <v>0</v>
      </c>
      <c r="T72" s="382">
        <f t="shared" ref="T72:T131" si="19">S72/$W72</f>
        <v>0</v>
      </c>
      <c r="U72" s="383">
        <f>577-'[4]Cas anuladas TEEM'!N82</f>
        <v>562</v>
      </c>
      <c r="V72" s="382">
        <f t="shared" ref="V72:V130" si="20">U72/$W72</f>
        <v>5.9876411676965696E-2</v>
      </c>
      <c r="W72" s="384">
        <f t="shared" si="10"/>
        <v>9386</v>
      </c>
      <c r="X72" s="385">
        <f>'[4]Cas anuladas TEEM'!O82</f>
        <v>294</v>
      </c>
      <c r="Y72" s="385">
        <v>0</v>
      </c>
      <c r="Z72" s="385">
        <v>0</v>
      </c>
    </row>
    <row r="73" spans="1:26">
      <c r="A73" s="379">
        <v>66</v>
      </c>
      <c r="B73" s="380" t="s">
        <v>85</v>
      </c>
      <c r="C73" s="381">
        <v>1358</v>
      </c>
      <c r="D73" s="382">
        <f t="shared" si="11"/>
        <v>0.14197595399895452</v>
      </c>
      <c r="E73" s="383">
        <v>4357</v>
      </c>
      <c r="F73" s="382">
        <f t="shared" si="12"/>
        <v>0.45551489806586515</v>
      </c>
      <c r="G73" s="383">
        <v>2341</v>
      </c>
      <c r="H73" s="382">
        <f t="shared" si="13"/>
        <v>0.24474647151071616</v>
      </c>
      <c r="I73" s="383">
        <v>470</v>
      </c>
      <c r="J73" s="382">
        <f t="shared" si="14"/>
        <v>4.9137480397281753E-2</v>
      </c>
      <c r="K73" s="383">
        <v>573</v>
      </c>
      <c r="L73" s="382">
        <f t="shared" si="15"/>
        <v>5.990590695243074E-2</v>
      </c>
      <c r="M73" s="383">
        <v>20</v>
      </c>
      <c r="N73" s="382">
        <f t="shared" si="16"/>
        <v>2.0909566126502874E-3</v>
      </c>
      <c r="O73" s="383">
        <v>20</v>
      </c>
      <c r="P73" s="382">
        <f t="shared" si="17"/>
        <v>2.0909566126502874E-3</v>
      </c>
      <c r="Q73" s="383">
        <v>192</v>
      </c>
      <c r="R73" s="382">
        <f t="shared" si="18"/>
        <v>2.0073183481442759E-2</v>
      </c>
      <c r="S73" s="383">
        <v>0</v>
      </c>
      <c r="T73" s="382">
        <f t="shared" si="19"/>
        <v>0</v>
      </c>
      <c r="U73" s="383">
        <v>234</v>
      </c>
      <c r="V73" s="382">
        <f t="shared" si="20"/>
        <v>2.4464192368008363E-2</v>
      </c>
      <c r="W73" s="384">
        <f t="shared" ref="W73:W131" si="21">C73+E73+G73+I73+K73+M73+O73+Q73+S73+U73</f>
        <v>9565</v>
      </c>
      <c r="X73" s="385">
        <v>0</v>
      </c>
      <c r="Y73" s="385">
        <v>0</v>
      </c>
      <c r="Z73" s="385">
        <v>0</v>
      </c>
    </row>
    <row r="74" spans="1:26">
      <c r="A74" s="379">
        <v>67</v>
      </c>
      <c r="B74" s="380" t="s">
        <v>86</v>
      </c>
      <c r="C74" s="381">
        <v>231</v>
      </c>
      <c r="D74" s="382">
        <f t="shared" si="11"/>
        <v>9.4866529774127309E-2</v>
      </c>
      <c r="E74" s="383">
        <v>864</v>
      </c>
      <c r="F74" s="382">
        <f t="shared" si="12"/>
        <v>0.35482546201232035</v>
      </c>
      <c r="G74" s="383">
        <v>834</v>
      </c>
      <c r="H74" s="382">
        <f t="shared" si="13"/>
        <v>0.34250513347022588</v>
      </c>
      <c r="I74" s="383">
        <v>450</v>
      </c>
      <c r="J74" s="382">
        <f t="shared" si="14"/>
        <v>0.18480492813141683</v>
      </c>
      <c r="K74" s="383">
        <v>0</v>
      </c>
      <c r="L74" s="382">
        <f t="shared" si="15"/>
        <v>0</v>
      </c>
      <c r="M74" s="383">
        <v>0</v>
      </c>
      <c r="N74" s="382">
        <f t="shared" si="16"/>
        <v>0</v>
      </c>
      <c r="O74" s="383">
        <v>0</v>
      </c>
      <c r="P74" s="382">
        <f t="shared" si="17"/>
        <v>0</v>
      </c>
      <c r="Q74" s="383">
        <v>0</v>
      </c>
      <c r="R74" s="382">
        <f t="shared" si="18"/>
        <v>0</v>
      </c>
      <c r="S74" s="383">
        <v>2</v>
      </c>
      <c r="T74" s="382">
        <f t="shared" si="19"/>
        <v>8.2135523613963038E-4</v>
      </c>
      <c r="U74" s="383">
        <v>54</v>
      </c>
      <c r="V74" s="382">
        <f t="shared" si="20"/>
        <v>2.2176591375770022E-2</v>
      </c>
      <c r="W74" s="384">
        <f t="shared" si="21"/>
        <v>2435</v>
      </c>
      <c r="X74" s="385">
        <v>0</v>
      </c>
      <c r="Y74" s="385">
        <v>0</v>
      </c>
      <c r="Z74" s="385">
        <v>0</v>
      </c>
    </row>
    <row r="75" spans="1:26">
      <c r="A75" s="379">
        <v>68</v>
      </c>
      <c r="B75" s="380" t="s">
        <v>87</v>
      </c>
      <c r="C75" s="381">
        <v>3738</v>
      </c>
      <c r="D75" s="382">
        <f t="shared" si="11"/>
        <v>0.21346582148363885</v>
      </c>
      <c r="E75" s="383">
        <v>6003</v>
      </c>
      <c r="F75" s="382">
        <f t="shared" si="12"/>
        <v>0.3428130889155388</v>
      </c>
      <c r="G75" s="383">
        <v>4444</v>
      </c>
      <c r="H75" s="382">
        <f t="shared" si="13"/>
        <v>0.25378333618868137</v>
      </c>
      <c r="I75" s="383">
        <v>2676</v>
      </c>
      <c r="J75" s="382">
        <f t="shared" si="14"/>
        <v>0.15281822854205929</v>
      </c>
      <c r="K75" s="383">
        <v>40</v>
      </c>
      <c r="L75" s="382">
        <f t="shared" si="15"/>
        <v>2.2842784535434869E-3</v>
      </c>
      <c r="M75" s="383">
        <v>39</v>
      </c>
      <c r="N75" s="382">
        <f t="shared" si="16"/>
        <v>2.2271714922048997E-3</v>
      </c>
      <c r="O75" s="383">
        <v>34</v>
      </c>
      <c r="P75" s="382">
        <f t="shared" si="17"/>
        <v>1.9416366855119639E-3</v>
      </c>
      <c r="Q75" s="383">
        <v>24</v>
      </c>
      <c r="R75" s="382">
        <f t="shared" si="18"/>
        <v>1.3705670721260923E-3</v>
      </c>
      <c r="S75" s="383">
        <v>1</v>
      </c>
      <c r="T75" s="382">
        <f t="shared" si="19"/>
        <v>5.7106961338587171E-5</v>
      </c>
      <c r="U75" s="383">
        <v>512</v>
      </c>
      <c r="V75" s="382">
        <f t="shared" si="20"/>
        <v>2.9238764205356631E-2</v>
      </c>
      <c r="W75" s="384">
        <f t="shared" si="21"/>
        <v>17511</v>
      </c>
      <c r="X75" s="385">
        <v>0</v>
      </c>
      <c r="Y75" s="385">
        <v>0</v>
      </c>
      <c r="Z75" s="385">
        <v>0</v>
      </c>
    </row>
    <row r="76" spans="1:26">
      <c r="A76" s="379">
        <v>69</v>
      </c>
      <c r="B76" s="380" t="s">
        <v>88</v>
      </c>
      <c r="C76" s="381">
        <v>628</v>
      </c>
      <c r="D76" s="382">
        <f t="shared" si="11"/>
        <v>7.3969375736160192E-2</v>
      </c>
      <c r="E76" s="383">
        <v>2348</v>
      </c>
      <c r="F76" s="382">
        <f t="shared" si="12"/>
        <v>0.27656065959952886</v>
      </c>
      <c r="G76" s="383">
        <v>888</v>
      </c>
      <c r="H76" s="382">
        <f t="shared" si="13"/>
        <v>0.10459363957597173</v>
      </c>
      <c r="I76" s="383">
        <v>1145</v>
      </c>
      <c r="J76" s="382">
        <f t="shared" si="14"/>
        <v>0.1348645465253239</v>
      </c>
      <c r="K76" s="383">
        <v>0</v>
      </c>
      <c r="L76" s="382">
        <f t="shared" si="15"/>
        <v>0</v>
      </c>
      <c r="M76" s="383">
        <v>34</v>
      </c>
      <c r="N76" s="382">
        <f t="shared" si="16"/>
        <v>4.0047114252061249E-3</v>
      </c>
      <c r="O76" s="383">
        <v>2829</v>
      </c>
      <c r="P76" s="382">
        <f t="shared" si="17"/>
        <v>0.33321554770318024</v>
      </c>
      <c r="Q76" s="383">
        <v>325</v>
      </c>
      <c r="R76" s="382">
        <f t="shared" si="18"/>
        <v>3.828032979976443E-2</v>
      </c>
      <c r="S76" s="383">
        <v>4</v>
      </c>
      <c r="T76" s="382">
        <f t="shared" si="19"/>
        <v>4.7114252061248527E-4</v>
      </c>
      <c r="U76" s="383">
        <v>289</v>
      </c>
      <c r="V76" s="382">
        <f t="shared" si="20"/>
        <v>3.4040047114252063E-2</v>
      </c>
      <c r="W76" s="384">
        <f t="shared" si="21"/>
        <v>8490</v>
      </c>
      <c r="X76" s="385">
        <v>0</v>
      </c>
      <c r="Y76" s="385">
        <v>0</v>
      </c>
      <c r="Z76" s="385">
        <v>0</v>
      </c>
    </row>
    <row r="77" spans="1:26">
      <c r="A77" s="379">
        <v>70</v>
      </c>
      <c r="B77" s="380" t="s">
        <v>89</v>
      </c>
      <c r="C77" s="381">
        <v>443</v>
      </c>
      <c r="D77" s="382">
        <f t="shared" si="11"/>
        <v>0.23414376321353064</v>
      </c>
      <c r="E77" s="383">
        <v>661</v>
      </c>
      <c r="F77" s="382">
        <f t="shared" si="12"/>
        <v>0.34936575052854124</v>
      </c>
      <c r="G77" s="383">
        <v>492</v>
      </c>
      <c r="H77" s="382">
        <f t="shared" si="13"/>
        <v>0.26004228329809725</v>
      </c>
      <c r="I77" s="383">
        <v>160</v>
      </c>
      <c r="J77" s="382">
        <f t="shared" si="14"/>
        <v>8.4566596194503171E-2</v>
      </c>
      <c r="K77" s="383">
        <v>0</v>
      </c>
      <c r="L77" s="382">
        <f t="shared" si="15"/>
        <v>0</v>
      </c>
      <c r="M77" s="383">
        <v>0</v>
      </c>
      <c r="N77" s="382">
        <f t="shared" si="16"/>
        <v>0</v>
      </c>
      <c r="O77" s="383">
        <v>0</v>
      </c>
      <c r="P77" s="382">
        <f t="shared" si="17"/>
        <v>0</v>
      </c>
      <c r="Q77" s="383">
        <v>108</v>
      </c>
      <c r="R77" s="382">
        <f t="shared" si="18"/>
        <v>5.7082452431289642E-2</v>
      </c>
      <c r="S77" s="383">
        <v>0</v>
      </c>
      <c r="T77" s="382">
        <f t="shared" si="19"/>
        <v>0</v>
      </c>
      <c r="U77" s="383">
        <v>28</v>
      </c>
      <c r="V77" s="382">
        <f t="shared" si="20"/>
        <v>1.4799154334038054E-2</v>
      </c>
      <c r="W77" s="384">
        <f t="shared" si="21"/>
        <v>1892</v>
      </c>
      <c r="X77" s="385">
        <v>0</v>
      </c>
      <c r="Y77" s="385">
        <v>0</v>
      </c>
      <c r="Z77" s="385">
        <v>0</v>
      </c>
    </row>
    <row r="78" spans="1:26" ht="15">
      <c r="A78" s="379">
        <v>71</v>
      </c>
      <c r="B78" s="380" t="s">
        <v>599</v>
      </c>
      <c r="C78" s="381">
        <f>3677-'[4]Cas anuladas TEEM'!E94+'[4]Cas anuladas TEPJF'!E84</f>
        <v>3400</v>
      </c>
      <c r="D78" s="382">
        <f t="shared" si="11"/>
        <v>7.8734687261190747E-2</v>
      </c>
      <c r="E78" s="383">
        <f>18471-'[4]Cas anuladas TEEM'!F94+'[4]Cas anuladas TEPJF'!F84</f>
        <v>17186</v>
      </c>
      <c r="F78" s="382">
        <f t="shared" si="12"/>
        <v>0.39798068684436005</v>
      </c>
      <c r="G78" s="383">
        <f>13420-'[4]Cas anuladas TEEM'!G94+'[4]Cas anuladas TEPJF'!G84</f>
        <v>12517</v>
      </c>
      <c r="H78" s="382">
        <f t="shared" si="13"/>
        <v>0.28985943542597781</v>
      </c>
      <c r="I78" s="383">
        <f>8335-'[4]Cas anuladas TEEM'!H94+'[4]Cas anuladas TEPJF'!H84</f>
        <v>7761</v>
      </c>
      <c r="J78" s="382">
        <f t="shared" si="14"/>
        <v>0.17972350230414746</v>
      </c>
      <c r="K78" s="383">
        <f>196-'[4]Cas anuladas TEEM'!I94+'[4]Cas anuladas TEPJF'!I84</f>
        <v>183</v>
      </c>
      <c r="L78" s="382">
        <f t="shared" si="15"/>
        <v>4.237778755528796E-3</v>
      </c>
      <c r="M78" s="383">
        <f>457-'[4]Cas anuladas TEEM'!J94+'[4]Cas anuladas TEPJF'!J84</f>
        <v>426</v>
      </c>
      <c r="N78" s="382">
        <f t="shared" si="16"/>
        <v>9.8649931686080172E-3</v>
      </c>
      <c r="O78" s="383">
        <f>304-'[4]Cas anuladas TEEM'!K94+'[4]Cas anuladas TEPJF'!K84</f>
        <v>282</v>
      </c>
      <c r="P78" s="382">
        <f t="shared" si="17"/>
        <v>6.5303475904869976E-3</v>
      </c>
      <c r="Q78" s="383">
        <f>381-'[4]Cas anuladas TEEM'!L94+'[4]Cas anuladas TEPJF'!L84</f>
        <v>366</v>
      </c>
      <c r="R78" s="382">
        <f t="shared" si="18"/>
        <v>8.475557511057592E-3</v>
      </c>
      <c r="S78" s="383">
        <f>3-'[4]Cas anuladas TEEM'!M94+'[4]Cas anuladas TEPJF'!M84</f>
        <v>3</v>
      </c>
      <c r="T78" s="382">
        <f t="shared" si="19"/>
        <v>6.9471782877521246E-5</v>
      </c>
      <c r="U78" s="383">
        <f>1138-'[4]Cas anuladas TEEM'!N94+'[4]Cas anuladas TEPJF'!N84</f>
        <v>1059</v>
      </c>
      <c r="V78" s="382">
        <f t="shared" si="20"/>
        <v>2.4523539355765001E-2</v>
      </c>
      <c r="W78" s="384">
        <f t="shared" si="21"/>
        <v>43183</v>
      </c>
      <c r="X78" s="385">
        <f>'[4]Cas anuladas TEEM'!O94</f>
        <v>2759</v>
      </c>
      <c r="Y78" s="385">
        <v>0</v>
      </c>
      <c r="Z78" s="385">
        <f>-'[4]Cas anuladas TEPJF'!O84</f>
        <v>440</v>
      </c>
    </row>
    <row r="79" spans="1:26">
      <c r="A79" s="379">
        <v>72</v>
      </c>
      <c r="B79" s="380" t="s">
        <v>600</v>
      </c>
      <c r="C79" s="381">
        <v>2553</v>
      </c>
      <c r="D79" s="382">
        <f t="shared" si="11"/>
        <v>0.4668983174835406</v>
      </c>
      <c r="E79" s="383">
        <v>2337</v>
      </c>
      <c r="F79" s="382">
        <f t="shared" si="12"/>
        <v>0.42739575713240674</v>
      </c>
      <c r="G79" s="383">
        <v>413</v>
      </c>
      <c r="H79" s="382">
        <f t="shared" si="13"/>
        <v>7.5530358449158744E-2</v>
      </c>
      <c r="I79" s="383">
        <v>25</v>
      </c>
      <c r="J79" s="382">
        <f t="shared" si="14"/>
        <v>4.5720555961960493E-3</v>
      </c>
      <c r="K79" s="383">
        <v>0</v>
      </c>
      <c r="L79" s="382">
        <f t="shared" si="15"/>
        <v>0</v>
      </c>
      <c r="M79" s="383">
        <v>9</v>
      </c>
      <c r="N79" s="382">
        <f t="shared" si="16"/>
        <v>1.6459400146305778E-3</v>
      </c>
      <c r="O79" s="383">
        <v>18</v>
      </c>
      <c r="P79" s="382">
        <f t="shared" si="17"/>
        <v>3.2918800292611556E-3</v>
      </c>
      <c r="Q79" s="383">
        <v>0</v>
      </c>
      <c r="R79" s="382">
        <f t="shared" si="18"/>
        <v>0</v>
      </c>
      <c r="S79" s="383">
        <v>0</v>
      </c>
      <c r="T79" s="382">
        <f t="shared" si="19"/>
        <v>0</v>
      </c>
      <c r="U79" s="383">
        <v>113</v>
      </c>
      <c r="V79" s="382">
        <f t="shared" si="20"/>
        <v>2.0665691294806145E-2</v>
      </c>
      <c r="W79" s="384">
        <f t="shared" si="21"/>
        <v>5468</v>
      </c>
      <c r="X79" s="385">
        <v>0</v>
      </c>
      <c r="Y79" s="385">
        <v>0</v>
      </c>
      <c r="Z79" s="385">
        <v>0</v>
      </c>
    </row>
    <row r="80" spans="1:26">
      <c r="A80" s="379">
        <v>73</v>
      </c>
      <c r="B80" s="380" t="s">
        <v>601</v>
      </c>
      <c r="C80" s="381">
        <v>261</v>
      </c>
      <c r="D80" s="382">
        <f t="shared" si="11"/>
        <v>6.6260472201066262E-2</v>
      </c>
      <c r="E80" s="383">
        <v>1551</v>
      </c>
      <c r="F80" s="382">
        <f t="shared" si="12"/>
        <v>0.39375476009139376</v>
      </c>
      <c r="G80" s="383">
        <v>577</v>
      </c>
      <c r="H80" s="382">
        <f t="shared" si="13"/>
        <v>0.14648387915714647</v>
      </c>
      <c r="I80" s="383">
        <v>1356</v>
      </c>
      <c r="J80" s="382">
        <f t="shared" si="14"/>
        <v>0.34424980959634427</v>
      </c>
      <c r="K80" s="383">
        <v>0</v>
      </c>
      <c r="L80" s="382">
        <f t="shared" si="15"/>
        <v>0</v>
      </c>
      <c r="M80" s="383">
        <v>69</v>
      </c>
      <c r="N80" s="382">
        <f t="shared" si="16"/>
        <v>1.7517136329017517E-2</v>
      </c>
      <c r="O80" s="383">
        <v>0</v>
      </c>
      <c r="P80" s="382">
        <f t="shared" si="17"/>
        <v>0</v>
      </c>
      <c r="Q80" s="383">
        <v>0</v>
      </c>
      <c r="R80" s="382">
        <f t="shared" si="18"/>
        <v>0</v>
      </c>
      <c r="S80" s="383">
        <v>0</v>
      </c>
      <c r="T80" s="382">
        <f t="shared" si="19"/>
        <v>0</v>
      </c>
      <c r="U80" s="383">
        <v>125</v>
      </c>
      <c r="V80" s="382">
        <f t="shared" si="20"/>
        <v>3.1733942625031736E-2</v>
      </c>
      <c r="W80" s="384">
        <f t="shared" si="21"/>
        <v>3939</v>
      </c>
      <c r="X80" s="385">
        <v>0</v>
      </c>
      <c r="Y80" s="385">
        <v>0</v>
      </c>
      <c r="Z80" s="385">
        <v>0</v>
      </c>
    </row>
    <row r="81" spans="1:26" ht="15">
      <c r="A81" s="379">
        <v>74</v>
      </c>
      <c r="B81" s="380" t="s">
        <v>602</v>
      </c>
      <c r="C81" s="381">
        <f>1241-'[4]Cas anuladas TEEM'!E97+'[4]Cas anuladas TEPJF'!E87</f>
        <v>1241</v>
      </c>
      <c r="D81" s="382">
        <f t="shared" si="11"/>
        <v>0.27504432624113473</v>
      </c>
      <c r="E81" s="383">
        <f>1437-'[4]Cas anuladas TEEM'!F97+'[4]Cas anuladas TEPJF'!F87</f>
        <v>1437</v>
      </c>
      <c r="F81" s="382">
        <f t="shared" si="12"/>
        <v>0.31848404255319152</v>
      </c>
      <c r="G81" s="383">
        <f>1477-'[4]Cas anuladas TEEM'!G97+'[4]Cas anuladas TEPJF'!G87</f>
        <v>1477</v>
      </c>
      <c r="H81" s="382">
        <f t="shared" si="13"/>
        <v>0.32734929078014185</v>
      </c>
      <c r="I81" s="383">
        <f>285-'[4]Cas anuladas TEEM'!H97+'[4]Cas anuladas TEPJF'!H87</f>
        <v>285</v>
      </c>
      <c r="J81" s="382">
        <f t="shared" si="14"/>
        <v>6.3164893617021281E-2</v>
      </c>
      <c r="K81" s="383">
        <f>0-'[4]Cas anuladas TEEM'!I97+'[4]Cas anuladas TEPJF'!I87</f>
        <v>0</v>
      </c>
      <c r="L81" s="382">
        <f t="shared" si="15"/>
        <v>0</v>
      </c>
      <c r="M81" s="383">
        <f>0-'[4]Cas anuladas TEEM'!J97+'[4]Cas anuladas TEPJF'!J87</f>
        <v>0</v>
      </c>
      <c r="N81" s="382">
        <f t="shared" si="16"/>
        <v>0</v>
      </c>
      <c r="O81" s="383">
        <f>0-'[4]Cas anuladas TEEM'!K97+'[4]Cas anuladas TEPJF'!K87</f>
        <v>0</v>
      </c>
      <c r="P81" s="382">
        <f t="shared" si="17"/>
        <v>0</v>
      </c>
      <c r="Q81" s="383">
        <f>0-'[4]Cas anuladas TEEM'!L97+'[4]Cas anuladas TEPJF'!L87</f>
        <v>0</v>
      </c>
      <c r="R81" s="382">
        <f t="shared" si="18"/>
        <v>0</v>
      </c>
      <c r="S81" s="383">
        <f>1-'[4]Cas anuladas TEEM'!M97+'[4]Cas anuladas TEPJF'!M87</f>
        <v>1</v>
      </c>
      <c r="T81" s="382">
        <f t="shared" si="19"/>
        <v>2.2163120567375886E-4</v>
      </c>
      <c r="U81" s="383">
        <f>71-'[4]Cas anuladas TEEM'!N97+'[4]Cas anuladas TEPJF'!N87</f>
        <v>71</v>
      </c>
      <c r="V81" s="382">
        <f t="shared" si="20"/>
        <v>1.5735815602836878E-2</v>
      </c>
      <c r="W81" s="384">
        <f t="shared" si="21"/>
        <v>4512</v>
      </c>
      <c r="X81" s="385">
        <f>'[4]Cas anuladas TEEM'!O97</f>
        <v>886</v>
      </c>
      <c r="Y81" s="385">
        <f>'[4]Cas anuladas TEPJF'!O87</f>
        <v>886</v>
      </c>
      <c r="Z81" s="385">
        <v>0</v>
      </c>
    </row>
    <row r="82" spans="1:26">
      <c r="A82" s="379">
        <v>75</v>
      </c>
      <c r="B82" s="380" t="s">
        <v>93</v>
      </c>
      <c r="C82" s="381">
        <v>6629</v>
      </c>
      <c r="D82" s="382">
        <f t="shared" si="11"/>
        <v>0.23218914185639231</v>
      </c>
      <c r="E82" s="383">
        <v>11344</v>
      </c>
      <c r="F82" s="382">
        <f t="shared" si="12"/>
        <v>0.39733800350262699</v>
      </c>
      <c r="G82" s="383">
        <v>5188</v>
      </c>
      <c r="H82" s="382">
        <f t="shared" si="13"/>
        <v>0.18171628721541155</v>
      </c>
      <c r="I82" s="383">
        <v>403</v>
      </c>
      <c r="J82" s="382">
        <f t="shared" si="14"/>
        <v>1.4115586690017513E-2</v>
      </c>
      <c r="K82" s="383">
        <v>234</v>
      </c>
      <c r="L82" s="382">
        <f t="shared" si="15"/>
        <v>8.196147110332749E-3</v>
      </c>
      <c r="M82" s="383">
        <v>561</v>
      </c>
      <c r="N82" s="382">
        <f t="shared" si="16"/>
        <v>1.9649737302977234E-2</v>
      </c>
      <c r="O82" s="383">
        <v>144</v>
      </c>
      <c r="P82" s="382">
        <f t="shared" si="17"/>
        <v>5.0437828371278455E-3</v>
      </c>
      <c r="Q82" s="383">
        <v>1768</v>
      </c>
      <c r="R82" s="382">
        <f t="shared" si="18"/>
        <v>6.1926444833625222E-2</v>
      </c>
      <c r="S82" s="383">
        <v>254</v>
      </c>
      <c r="T82" s="382">
        <f t="shared" si="19"/>
        <v>8.8966725043782835E-3</v>
      </c>
      <c r="U82" s="383">
        <v>2025</v>
      </c>
      <c r="V82" s="382">
        <f t="shared" si="20"/>
        <v>7.0928196147110337E-2</v>
      </c>
      <c r="W82" s="384">
        <f t="shared" si="21"/>
        <v>28550</v>
      </c>
      <c r="X82" s="385">
        <v>0</v>
      </c>
      <c r="Y82" s="385">
        <v>0</v>
      </c>
      <c r="Z82" s="385">
        <v>0</v>
      </c>
    </row>
    <row r="83" spans="1:26" ht="13.5">
      <c r="A83" s="379">
        <v>76</v>
      </c>
      <c r="B83" s="386" t="s">
        <v>603</v>
      </c>
      <c r="C83" s="381">
        <v>2385</v>
      </c>
      <c r="D83" s="382">
        <f t="shared" si="11"/>
        <v>0.34781974624471346</v>
      </c>
      <c r="E83" s="383">
        <v>2906</v>
      </c>
      <c r="F83" s="382">
        <f t="shared" si="12"/>
        <v>0.42380049584366342</v>
      </c>
      <c r="G83" s="383">
        <v>1219</v>
      </c>
      <c r="H83" s="382">
        <f t="shared" si="13"/>
        <v>0.1777745369695202</v>
      </c>
      <c r="I83" s="383">
        <v>80</v>
      </c>
      <c r="J83" s="382">
        <f t="shared" si="14"/>
        <v>1.1666909727285985E-2</v>
      </c>
      <c r="K83" s="383">
        <v>58</v>
      </c>
      <c r="L83" s="382">
        <f t="shared" si="15"/>
        <v>8.4585095522823391E-3</v>
      </c>
      <c r="M83" s="383">
        <v>0</v>
      </c>
      <c r="N83" s="382">
        <f t="shared" si="16"/>
        <v>0</v>
      </c>
      <c r="O83" s="383">
        <v>0</v>
      </c>
      <c r="P83" s="382">
        <f t="shared" si="17"/>
        <v>0</v>
      </c>
      <c r="Q83" s="383">
        <v>63</v>
      </c>
      <c r="R83" s="382">
        <f t="shared" si="18"/>
        <v>9.1876914102377132E-3</v>
      </c>
      <c r="S83" s="383">
        <v>15</v>
      </c>
      <c r="T83" s="382">
        <f t="shared" si="19"/>
        <v>2.1875455738661221E-3</v>
      </c>
      <c r="U83" s="383">
        <v>131</v>
      </c>
      <c r="V83" s="382">
        <f t="shared" si="20"/>
        <v>1.9104564678430802E-2</v>
      </c>
      <c r="W83" s="384">
        <f t="shared" si="21"/>
        <v>6857</v>
      </c>
      <c r="X83" s="385">
        <v>0</v>
      </c>
      <c r="Y83" s="385">
        <v>0</v>
      </c>
      <c r="Z83" s="385">
        <v>0</v>
      </c>
    </row>
    <row r="84" spans="1:26">
      <c r="A84" s="379">
        <v>77</v>
      </c>
      <c r="B84" s="380" t="s">
        <v>95</v>
      </c>
      <c r="C84" s="381">
        <v>3592</v>
      </c>
      <c r="D84" s="382">
        <f t="shared" si="11"/>
        <v>0.17997795370277583</v>
      </c>
      <c r="E84" s="383">
        <v>6768</v>
      </c>
      <c r="F84" s="382">
        <f t="shared" si="12"/>
        <v>0.33911213548451746</v>
      </c>
      <c r="G84" s="383">
        <v>6981</v>
      </c>
      <c r="H84" s="382">
        <f t="shared" si="13"/>
        <v>0.34978454754985472</v>
      </c>
      <c r="I84" s="383">
        <v>1500</v>
      </c>
      <c r="J84" s="382">
        <f t="shared" si="14"/>
        <v>7.5157831446036674E-2</v>
      </c>
      <c r="K84" s="383">
        <v>424</v>
      </c>
      <c r="L84" s="382">
        <f t="shared" si="15"/>
        <v>2.1244613688746368E-2</v>
      </c>
      <c r="M84" s="383">
        <v>72</v>
      </c>
      <c r="N84" s="382">
        <f t="shared" si="16"/>
        <v>3.6075759094097606E-3</v>
      </c>
      <c r="O84" s="383">
        <v>0</v>
      </c>
      <c r="P84" s="382">
        <f t="shared" si="17"/>
        <v>0</v>
      </c>
      <c r="Q84" s="383">
        <v>232</v>
      </c>
      <c r="R84" s="382">
        <f t="shared" si="18"/>
        <v>1.1624411263653673E-2</v>
      </c>
      <c r="S84" s="383">
        <v>11</v>
      </c>
      <c r="T84" s="382">
        <f t="shared" si="19"/>
        <v>5.5115743060426897E-4</v>
      </c>
      <c r="U84" s="383">
        <v>378</v>
      </c>
      <c r="V84" s="382">
        <f t="shared" si="20"/>
        <v>1.8939773524401241E-2</v>
      </c>
      <c r="W84" s="384">
        <f t="shared" si="21"/>
        <v>19958</v>
      </c>
      <c r="X84" s="385">
        <v>0</v>
      </c>
      <c r="Y84" s="385">
        <v>0</v>
      </c>
      <c r="Z84" s="385">
        <v>0</v>
      </c>
    </row>
    <row r="85" spans="1:26">
      <c r="A85" s="379">
        <v>78</v>
      </c>
      <c r="B85" s="380" t="s">
        <v>604</v>
      </c>
      <c r="C85" s="381">
        <v>54</v>
      </c>
      <c r="D85" s="382">
        <f t="shared" si="11"/>
        <v>2.6011560693641619E-2</v>
      </c>
      <c r="E85" s="383">
        <v>571</v>
      </c>
      <c r="F85" s="382">
        <f t="shared" si="12"/>
        <v>0.27504816955684008</v>
      </c>
      <c r="G85" s="383">
        <v>370</v>
      </c>
      <c r="H85" s="382">
        <f t="shared" si="13"/>
        <v>0.17822736030828518</v>
      </c>
      <c r="I85" s="383">
        <v>975</v>
      </c>
      <c r="J85" s="382">
        <f t="shared" si="14"/>
        <v>0.46965317919075145</v>
      </c>
      <c r="K85" s="383">
        <v>0</v>
      </c>
      <c r="L85" s="382">
        <f t="shared" si="15"/>
        <v>0</v>
      </c>
      <c r="M85" s="383">
        <v>0</v>
      </c>
      <c r="N85" s="382">
        <f t="shared" si="16"/>
        <v>0</v>
      </c>
      <c r="O85" s="383">
        <v>3</v>
      </c>
      <c r="P85" s="382">
        <f t="shared" si="17"/>
        <v>1.4450867052023121E-3</v>
      </c>
      <c r="Q85" s="383">
        <v>41</v>
      </c>
      <c r="R85" s="382">
        <f t="shared" si="18"/>
        <v>1.9749518304431599E-2</v>
      </c>
      <c r="S85" s="383">
        <v>0</v>
      </c>
      <c r="T85" s="382">
        <f t="shared" si="19"/>
        <v>0</v>
      </c>
      <c r="U85" s="383">
        <v>62</v>
      </c>
      <c r="V85" s="382">
        <f t="shared" si="20"/>
        <v>2.9865125240847785E-2</v>
      </c>
      <c r="W85" s="384">
        <f t="shared" si="21"/>
        <v>2076</v>
      </c>
      <c r="X85" s="385">
        <v>0</v>
      </c>
      <c r="Y85" s="385">
        <v>0</v>
      </c>
      <c r="Z85" s="385">
        <v>0</v>
      </c>
    </row>
    <row r="86" spans="1:26">
      <c r="A86" s="379">
        <v>79</v>
      </c>
      <c r="B86" s="380" t="s">
        <v>605</v>
      </c>
      <c r="C86" s="381">
        <v>983</v>
      </c>
      <c r="D86" s="382">
        <f t="shared" si="11"/>
        <v>0.29143195967981028</v>
      </c>
      <c r="E86" s="383">
        <v>1127</v>
      </c>
      <c r="F86" s="382">
        <f t="shared" si="12"/>
        <v>0.33412392528906021</v>
      </c>
      <c r="G86" s="383">
        <v>951</v>
      </c>
      <c r="H86" s="382">
        <f t="shared" si="13"/>
        <v>0.28194485621108806</v>
      </c>
      <c r="I86" s="383">
        <v>222</v>
      </c>
      <c r="J86" s="382">
        <f t="shared" si="14"/>
        <v>6.5816780314260304E-2</v>
      </c>
      <c r="K86" s="383">
        <v>0</v>
      </c>
      <c r="L86" s="382">
        <f t="shared" si="15"/>
        <v>0</v>
      </c>
      <c r="M86" s="383">
        <v>14</v>
      </c>
      <c r="N86" s="382">
        <f t="shared" si="16"/>
        <v>4.1506077675659654E-3</v>
      </c>
      <c r="O86" s="383">
        <v>0</v>
      </c>
      <c r="P86" s="382">
        <f t="shared" si="17"/>
        <v>0</v>
      </c>
      <c r="Q86" s="383">
        <v>0</v>
      </c>
      <c r="R86" s="382">
        <f t="shared" si="18"/>
        <v>0</v>
      </c>
      <c r="S86" s="383">
        <v>2</v>
      </c>
      <c r="T86" s="382">
        <f t="shared" si="19"/>
        <v>5.9294396679513783E-4</v>
      </c>
      <c r="U86" s="383">
        <v>74</v>
      </c>
      <c r="V86" s="382">
        <f t="shared" si="20"/>
        <v>2.1938926771420102E-2</v>
      </c>
      <c r="W86" s="384">
        <f t="shared" si="21"/>
        <v>3373</v>
      </c>
      <c r="X86" s="385">
        <v>0</v>
      </c>
      <c r="Y86" s="385">
        <v>0</v>
      </c>
      <c r="Z86" s="385">
        <v>0</v>
      </c>
    </row>
    <row r="87" spans="1:26">
      <c r="A87" s="379">
        <v>80</v>
      </c>
      <c r="B87" s="380" t="s">
        <v>98</v>
      </c>
      <c r="C87" s="381">
        <v>2388</v>
      </c>
      <c r="D87" s="382">
        <f t="shared" si="11"/>
        <v>0.53054876694067987</v>
      </c>
      <c r="E87" s="383">
        <v>1958</v>
      </c>
      <c r="F87" s="382">
        <f t="shared" si="12"/>
        <v>0.43501444123528105</v>
      </c>
      <c r="G87" s="383">
        <v>27</v>
      </c>
      <c r="H87" s="382">
        <f t="shared" si="13"/>
        <v>5.9986669628971341E-3</v>
      </c>
      <c r="I87" s="383">
        <v>21</v>
      </c>
      <c r="J87" s="382">
        <f t="shared" si="14"/>
        <v>4.6656298600311046E-3</v>
      </c>
      <c r="K87" s="383">
        <v>0</v>
      </c>
      <c r="L87" s="382">
        <f t="shared" si="15"/>
        <v>0</v>
      </c>
      <c r="M87" s="383">
        <v>7</v>
      </c>
      <c r="N87" s="382">
        <f t="shared" si="16"/>
        <v>1.5552099533437014E-3</v>
      </c>
      <c r="O87" s="383">
        <v>10</v>
      </c>
      <c r="P87" s="382">
        <f t="shared" si="17"/>
        <v>2.2217285047767162E-3</v>
      </c>
      <c r="Q87" s="383">
        <v>0</v>
      </c>
      <c r="R87" s="382">
        <f t="shared" si="18"/>
        <v>0</v>
      </c>
      <c r="S87" s="383">
        <v>0</v>
      </c>
      <c r="T87" s="382">
        <f t="shared" si="19"/>
        <v>0</v>
      </c>
      <c r="U87" s="383">
        <v>90</v>
      </c>
      <c r="V87" s="382">
        <f t="shared" si="20"/>
        <v>1.9995556542990445E-2</v>
      </c>
      <c r="W87" s="384">
        <f t="shared" si="21"/>
        <v>4501</v>
      </c>
      <c r="X87" s="385">
        <v>0</v>
      </c>
      <c r="Y87" s="385">
        <v>0</v>
      </c>
      <c r="Z87" s="385">
        <v>0</v>
      </c>
    </row>
    <row r="88" spans="1:26" ht="15.75">
      <c r="A88" s="379">
        <v>81</v>
      </c>
      <c r="B88" s="386" t="s">
        <v>606</v>
      </c>
      <c r="C88" s="381">
        <f>3584-'[4]Cas anuladas TEEM'!E98</f>
        <v>3484</v>
      </c>
      <c r="D88" s="382">
        <f t="shared" si="11"/>
        <v>0.41274730482170358</v>
      </c>
      <c r="E88" s="383">
        <f>4142-'[4]Cas anuladas TEEM'!F98</f>
        <v>4020</v>
      </c>
      <c r="F88" s="382">
        <f t="shared" si="12"/>
        <v>0.47624689017888877</v>
      </c>
      <c r="G88" s="383">
        <f>551-'[4]Cas anuladas TEEM'!G98</f>
        <v>526</v>
      </c>
      <c r="H88" s="382">
        <f t="shared" si="13"/>
        <v>6.2314891600521262E-2</v>
      </c>
      <c r="I88" s="383">
        <f>57-'[4]Cas anuladas TEEM'!H98</f>
        <v>57</v>
      </c>
      <c r="J88" s="382">
        <f t="shared" si="14"/>
        <v>6.7527544129842437E-3</v>
      </c>
      <c r="K88" s="383">
        <f>3-'[4]Cas anuladas TEEM'!I98</f>
        <v>3</v>
      </c>
      <c r="L88" s="382">
        <f t="shared" si="15"/>
        <v>3.5540812699917071E-4</v>
      </c>
      <c r="M88" s="383">
        <f>19-'[4]Cas anuladas TEEM'!J98</f>
        <v>19</v>
      </c>
      <c r="N88" s="382">
        <f t="shared" si="16"/>
        <v>2.2509181376614146E-3</v>
      </c>
      <c r="O88" s="383">
        <f>30-'[4]Cas anuladas TEEM'!K98</f>
        <v>30</v>
      </c>
      <c r="P88" s="382">
        <f t="shared" si="17"/>
        <v>3.5540812699917071E-3</v>
      </c>
      <c r="Q88" s="383">
        <f>0-'[4]Cas anuladas TEEM'!L98</f>
        <v>0</v>
      </c>
      <c r="R88" s="382">
        <f t="shared" si="18"/>
        <v>0</v>
      </c>
      <c r="S88" s="383">
        <f>0-'[4]Cas anuladas TEEM'!M98</f>
        <v>0</v>
      </c>
      <c r="T88" s="382">
        <f t="shared" si="19"/>
        <v>0</v>
      </c>
      <c r="U88" s="383">
        <f>302-'[4]Cas anuladas TEEM'!N98</f>
        <v>302</v>
      </c>
      <c r="V88" s="382">
        <f t="shared" si="20"/>
        <v>3.5777751451249853E-2</v>
      </c>
      <c r="W88" s="384">
        <f t="shared" si="21"/>
        <v>8441</v>
      </c>
      <c r="X88" s="385">
        <f>'[4]Cas anuladas TEEM'!O98</f>
        <v>247</v>
      </c>
      <c r="Y88" s="385">
        <v>0</v>
      </c>
      <c r="Z88" s="385">
        <v>0</v>
      </c>
    </row>
    <row r="89" spans="1:26" ht="15">
      <c r="A89" s="379">
        <v>82</v>
      </c>
      <c r="B89" s="380" t="s">
        <v>607</v>
      </c>
      <c r="C89" s="381">
        <f>16471+'[4]Cas anuladas TEPJF'!E90</f>
        <v>16318</v>
      </c>
      <c r="D89" s="382">
        <f t="shared" si="11"/>
        <v>0.31297709923664124</v>
      </c>
      <c r="E89" s="383">
        <f>26227+'[4]Cas anuladas TEPJF'!F90</f>
        <v>25959</v>
      </c>
      <c r="F89" s="382">
        <f t="shared" si="12"/>
        <v>0.49789021443093329</v>
      </c>
      <c r="G89" s="383">
        <f>6955+'[4]Cas anuladas TEPJF'!G90</f>
        <v>6906</v>
      </c>
      <c r="H89" s="382">
        <f t="shared" si="13"/>
        <v>0.13245617399976983</v>
      </c>
      <c r="I89" s="383">
        <f>301+'[4]Cas anuladas TEPJF'!H90</f>
        <v>299</v>
      </c>
      <c r="J89" s="382">
        <f t="shared" si="14"/>
        <v>5.7347807740995051E-3</v>
      </c>
      <c r="K89" s="383">
        <f>979+'[4]Cas anuladas TEPJF'!I90</f>
        <v>976</v>
      </c>
      <c r="L89" s="382">
        <f t="shared" si="15"/>
        <v>1.8719551958264604E-2</v>
      </c>
      <c r="M89" s="383">
        <f>189+'[4]Cas anuladas TEPJF'!J90</f>
        <v>188</v>
      </c>
      <c r="N89" s="382">
        <f t="shared" si="16"/>
        <v>3.6058153362231002E-3</v>
      </c>
      <c r="O89" s="383">
        <f>181+'[4]Cas anuladas TEPJF'!K90</f>
        <v>175</v>
      </c>
      <c r="P89" s="382">
        <f t="shared" si="17"/>
        <v>3.3564770416970348E-3</v>
      </c>
      <c r="Q89" s="383">
        <f>368+'[4]Cas anuladas TEPJF'!L90</f>
        <v>360</v>
      </c>
      <c r="R89" s="382">
        <f t="shared" si="18"/>
        <v>6.904752771491043E-3</v>
      </c>
      <c r="S89" s="383">
        <f>19+'[4]Cas anuladas TEPJF'!M90</f>
        <v>19</v>
      </c>
      <c r="T89" s="382">
        <f t="shared" si="19"/>
        <v>3.6441750738424949E-4</v>
      </c>
      <c r="U89" s="383">
        <f>952+'[4]Cas anuladas TEPJF'!N90</f>
        <v>938</v>
      </c>
      <c r="V89" s="382">
        <f t="shared" si="20"/>
        <v>1.7990716943496108E-2</v>
      </c>
      <c r="W89" s="384">
        <f t="shared" si="21"/>
        <v>52138</v>
      </c>
      <c r="X89" s="385">
        <v>0</v>
      </c>
      <c r="Y89" s="385">
        <v>0</v>
      </c>
      <c r="Z89" s="385">
        <f>-'[4]Cas anuladas TEPJF'!O90</f>
        <v>504</v>
      </c>
    </row>
    <row r="90" spans="1:26">
      <c r="A90" s="379">
        <v>83</v>
      </c>
      <c r="B90" s="380" t="s">
        <v>511</v>
      </c>
      <c r="C90" s="381">
        <v>1064</v>
      </c>
      <c r="D90" s="382">
        <f t="shared" si="11"/>
        <v>4.9465364946536493E-2</v>
      </c>
      <c r="E90" s="383">
        <v>8958</v>
      </c>
      <c r="F90" s="382">
        <f t="shared" si="12"/>
        <v>0.41645746164574615</v>
      </c>
      <c r="G90" s="383">
        <v>9912</v>
      </c>
      <c r="H90" s="382">
        <f t="shared" si="13"/>
        <v>0.46080892608089263</v>
      </c>
      <c r="I90" s="383">
        <v>396</v>
      </c>
      <c r="J90" s="382">
        <f t="shared" si="14"/>
        <v>1.8410041841004185E-2</v>
      </c>
      <c r="K90" s="383">
        <v>179</v>
      </c>
      <c r="L90" s="382">
        <f t="shared" si="15"/>
        <v>8.3217108321710833E-3</v>
      </c>
      <c r="M90" s="383">
        <v>55</v>
      </c>
      <c r="N90" s="382">
        <f t="shared" si="16"/>
        <v>2.5569502556950256E-3</v>
      </c>
      <c r="O90" s="383">
        <v>47</v>
      </c>
      <c r="P90" s="382">
        <f t="shared" si="17"/>
        <v>2.1850302185030218E-3</v>
      </c>
      <c r="Q90" s="383">
        <v>50</v>
      </c>
      <c r="R90" s="382">
        <f t="shared" si="18"/>
        <v>2.3245002324500234E-3</v>
      </c>
      <c r="S90" s="383">
        <v>8</v>
      </c>
      <c r="T90" s="382">
        <f t="shared" si="19"/>
        <v>3.7192003719200374E-4</v>
      </c>
      <c r="U90" s="383">
        <v>841</v>
      </c>
      <c r="V90" s="382">
        <f t="shared" si="20"/>
        <v>3.9098093909809388E-2</v>
      </c>
      <c r="W90" s="384">
        <f t="shared" si="21"/>
        <v>21510</v>
      </c>
      <c r="X90" s="385">
        <v>0</v>
      </c>
      <c r="Y90" s="385">
        <v>0</v>
      </c>
      <c r="Z90" s="385">
        <v>0</v>
      </c>
    </row>
    <row r="91" spans="1:26">
      <c r="A91" s="379">
        <v>84</v>
      </c>
      <c r="B91" s="380" t="s">
        <v>100</v>
      </c>
      <c r="C91" s="381">
        <v>526</v>
      </c>
      <c r="D91" s="382">
        <f t="shared" si="11"/>
        <v>0.179890560875513</v>
      </c>
      <c r="E91" s="383">
        <v>952</v>
      </c>
      <c r="F91" s="382">
        <f t="shared" si="12"/>
        <v>0.32558139534883723</v>
      </c>
      <c r="G91" s="383">
        <v>1331</v>
      </c>
      <c r="H91" s="382">
        <f t="shared" si="13"/>
        <v>0.45519835841313272</v>
      </c>
      <c r="I91" s="383">
        <v>33</v>
      </c>
      <c r="J91" s="382">
        <f t="shared" si="14"/>
        <v>1.1285909712722298E-2</v>
      </c>
      <c r="K91" s="383">
        <v>0</v>
      </c>
      <c r="L91" s="382">
        <f t="shared" si="15"/>
        <v>0</v>
      </c>
      <c r="M91" s="383">
        <v>8</v>
      </c>
      <c r="N91" s="382">
        <f t="shared" si="16"/>
        <v>2.7359781121751026E-3</v>
      </c>
      <c r="O91" s="383">
        <v>0</v>
      </c>
      <c r="P91" s="382">
        <f t="shared" si="17"/>
        <v>0</v>
      </c>
      <c r="Q91" s="383">
        <v>0</v>
      </c>
      <c r="R91" s="382">
        <f t="shared" si="18"/>
        <v>0</v>
      </c>
      <c r="S91" s="383">
        <v>0</v>
      </c>
      <c r="T91" s="382">
        <f t="shared" si="19"/>
        <v>0</v>
      </c>
      <c r="U91" s="383">
        <v>74</v>
      </c>
      <c r="V91" s="382">
        <f t="shared" si="20"/>
        <v>2.5307797537619699E-2</v>
      </c>
      <c r="W91" s="384">
        <f t="shared" si="21"/>
        <v>2924</v>
      </c>
      <c r="X91" s="385">
        <v>0</v>
      </c>
      <c r="Y91" s="385">
        <v>0</v>
      </c>
      <c r="Z91" s="385">
        <v>0</v>
      </c>
    </row>
    <row r="92" spans="1:26">
      <c r="A92" s="379">
        <v>85</v>
      </c>
      <c r="B92" s="380" t="s">
        <v>101</v>
      </c>
      <c r="C92" s="381">
        <v>4789</v>
      </c>
      <c r="D92" s="382">
        <f t="shared" si="11"/>
        <v>0.48782723846388915</v>
      </c>
      <c r="E92" s="383">
        <v>4072</v>
      </c>
      <c r="F92" s="382">
        <f t="shared" si="12"/>
        <v>0.41479066924722419</v>
      </c>
      <c r="G92" s="383">
        <v>627</v>
      </c>
      <c r="H92" s="382">
        <f t="shared" si="13"/>
        <v>6.3868799022104517E-2</v>
      </c>
      <c r="I92" s="383">
        <v>102</v>
      </c>
      <c r="J92" s="382">
        <f t="shared" si="14"/>
        <v>1.0390139553835184E-2</v>
      </c>
      <c r="K92" s="383">
        <v>0</v>
      </c>
      <c r="L92" s="382">
        <f t="shared" si="15"/>
        <v>0</v>
      </c>
      <c r="M92" s="383">
        <v>0</v>
      </c>
      <c r="N92" s="382">
        <f t="shared" si="16"/>
        <v>0</v>
      </c>
      <c r="O92" s="383">
        <v>17</v>
      </c>
      <c r="P92" s="382">
        <f t="shared" si="17"/>
        <v>1.7316899256391973E-3</v>
      </c>
      <c r="Q92" s="383">
        <v>0</v>
      </c>
      <c r="R92" s="382">
        <f t="shared" si="18"/>
        <v>0</v>
      </c>
      <c r="S92" s="383">
        <v>5</v>
      </c>
      <c r="T92" s="382">
        <f t="shared" si="19"/>
        <v>5.0932056636446982E-4</v>
      </c>
      <c r="U92" s="383">
        <v>205</v>
      </c>
      <c r="V92" s="382">
        <f t="shared" si="20"/>
        <v>2.0882143220943263E-2</v>
      </c>
      <c r="W92" s="384">
        <f t="shared" si="21"/>
        <v>9817</v>
      </c>
      <c r="X92" s="385">
        <v>0</v>
      </c>
      <c r="Y92" s="385">
        <v>0</v>
      </c>
      <c r="Z92" s="385">
        <v>0</v>
      </c>
    </row>
    <row r="93" spans="1:26">
      <c r="A93" s="379">
        <v>86</v>
      </c>
      <c r="B93" s="380" t="s">
        <v>102</v>
      </c>
      <c r="C93" s="381">
        <v>2214</v>
      </c>
      <c r="D93" s="382">
        <f t="shared" si="11"/>
        <v>0.11571025399811853</v>
      </c>
      <c r="E93" s="383">
        <v>8579</v>
      </c>
      <c r="F93" s="382">
        <f t="shared" si="12"/>
        <v>0.44836416849587124</v>
      </c>
      <c r="G93" s="383">
        <v>6871</v>
      </c>
      <c r="H93" s="382">
        <f t="shared" si="13"/>
        <v>0.35909898609804536</v>
      </c>
      <c r="I93" s="383">
        <v>315</v>
      </c>
      <c r="J93" s="382">
        <f t="shared" si="14"/>
        <v>1.6462841015992474E-2</v>
      </c>
      <c r="K93" s="383">
        <v>0</v>
      </c>
      <c r="L93" s="382">
        <f t="shared" si="15"/>
        <v>0</v>
      </c>
      <c r="M93" s="383">
        <v>38</v>
      </c>
      <c r="N93" s="382">
        <f t="shared" si="16"/>
        <v>1.9859935193895684E-3</v>
      </c>
      <c r="O93" s="383">
        <v>106</v>
      </c>
      <c r="P93" s="382">
        <f t="shared" si="17"/>
        <v>5.5398766593498482E-3</v>
      </c>
      <c r="Q93" s="383">
        <v>0</v>
      </c>
      <c r="R93" s="382">
        <f t="shared" si="18"/>
        <v>0</v>
      </c>
      <c r="S93" s="383">
        <v>8</v>
      </c>
      <c r="T93" s="382">
        <f t="shared" si="19"/>
        <v>4.1810389881885649E-4</v>
      </c>
      <c r="U93" s="383">
        <v>1003</v>
      </c>
      <c r="V93" s="382">
        <f t="shared" si="20"/>
        <v>5.2419776314414135E-2</v>
      </c>
      <c r="W93" s="384">
        <f t="shared" si="21"/>
        <v>19134</v>
      </c>
      <c r="X93" s="385">
        <v>0</v>
      </c>
      <c r="Y93" s="385">
        <v>0</v>
      </c>
      <c r="Z93" s="385">
        <v>0</v>
      </c>
    </row>
    <row r="94" spans="1:26">
      <c r="A94" s="379">
        <v>87</v>
      </c>
      <c r="B94" s="380" t="s">
        <v>104</v>
      </c>
      <c r="C94" s="381">
        <v>4115</v>
      </c>
      <c r="D94" s="382">
        <f t="shared" si="11"/>
        <v>0.40236628532316415</v>
      </c>
      <c r="E94" s="383">
        <v>4897</v>
      </c>
      <c r="F94" s="382">
        <f t="shared" si="12"/>
        <v>0.47883054659235358</v>
      </c>
      <c r="G94" s="383">
        <v>641</v>
      </c>
      <c r="H94" s="382">
        <f t="shared" si="13"/>
        <v>6.267722694827417E-2</v>
      </c>
      <c r="I94" s="383">
        <v>150</v>
      </c>
      <c r="J94" s="382">
        <f t="shared" si="14"/>
        <v>1.4667057788207686E-2</v>
      </c>
      <c r="K94" s="383">
        <v>1</v>
      </c>
      <c r="L94" s="382">
        <f t="shared" si="15"/>
        <v>9.77803852547179E-5</v>
      </c>
      <c r="M94" s="383">
        <v>1</v>
      </c>
      <c r="N94" s="382">
        <f t="shared" si="16"/>
        <v>9.77803852547179E-5</v>
      </c>
      <c r="O94" s="383">
        <v>27</v>
      </c>
      <c r="P94" s="382">
        <f t="shared" si="17"/>
        <v>2.6400704018773834E-3</v>
      </c>
      <c r="Q94" s="383">
        <v>16</v>
      </c>
      <c r="R94" s="382">
        <f t="shared" si="18"/>
        <v>1.5644861640754864E-3</v>
      </c>
      <c r="S94" s="383">
        <v>5</v>
      </c>
      <c r="T94" s="382">
        <f t="shared" si="19"/>
        <v>4.8890192627358954E-4</v>
      </c>
      <c r="U94" s="383">
        <v>374</v>
      </c>
      <c r="V94" s="382">
        <f t="shared" si="20"/>
        <v>3.6569864085264497E-2</v>
      </c>
      <c r="W94" s="384">
        <f t="shared" si="21"/>
        <v>10227</v>
      </c>
      <c r="X94" s="385">
        <v>0</v>
      </c>
      <c r="Y94" s="385">
        <v>0</v>
      </c>
      <c r="Z94" s="385">
        <v>0</v>
      </c>
    </row>
    <row r="95" spans="1:26">
      <c r="A95" s="379">
        <v>88</v>
      </c>
      <c r="B95" s="380" t="s">
        <v>105</v>
      </c>
      <c r="C95" s="381">
        <v>3315</v>
      </c>
      <c r="D95" s="382">
        <f t="shared" si="11"/>
        <v>0.17979173446143834</v>
      </c>
      <c r="E95" s="383">
        <v>8586</v>
      </c>
      <c r="F95" s="382">
        <f t="shared" si="12"/>
        <v>0.46566872762772538</v>
      </c>
      <c r="G95" s="383">
        <v>4514</v>
      </c>
      <c r="H95" s="382">
        <f t="shared" si="13"/>
        <v>0.24482047944462523</v>
      </c>
      <c r="I95" s="383">
        <v>1119</v>
      </c>
      <c r="J95" s="382">
        <f t="shared" si="14"/>
        <v>6.0689879596485516E-2</v>
      </c>
      <c r="K95" s="383">
        <v>1</v>
      </c>
      <c r="L95" s="382">
        <f t="shared" si="15"/>
        <v>5.4235817333767221E-5</v>
      </c>
      <c r="M95" s="383">
        <v>46</v>
      </c>
      <c r="N95" s="382">
        <f t="shared" si="16"/>
        <v>2.494847597353292E-3</v>
      </c>
      <c r="O95" s="383">
        <v>118</v>
      </c>
      <c r="P95" s="382">
        <f t="shared" si="17"/>
        <v>6.3998264453845322E-3</v>
      </c>
      <c r="Q95" s="383">
        <v>1</v>
      </c>
      <c r="R95" s="382">
        <f t="shared" si="18"/>
        <v>5.4235817333767221E-5</v>
      </c>
      <c r="S95" s="383">
        <v>9</v>
      </c>
      <c r="T95" s="382">
        <f t="shared" si="19"/>
        <v>4.8812235600390497E-4</v>
      </c>
      <c r="U95" s="383">
        <v>729</v>
      </c>
      <c r="V95" s="382">
        <f t="shared" si="20"/>
        <v>3.9537910836316303E-2</v>
      </c>
      <c r="W95" s="384">
        <f t="shared" si="21"/>
        <v>18438</v>
      </c>
      <c r="X95" s="385">
        <v>0</v>
      </c>
      <c r="Y95" s="385">
        <v>0</v>
      </c>
      <c r="Z95" s="385">
        <v>0</v>
      </c>
    </row>
    <row r="96" spans="1:26">
      <c r="A96" s="379">
        <v>89</v>
      </c>
      <c r="B96" s="380" t="s">
        <v>107</v>
      </c>
      <c r="C96" s="381">
        <v>7597</v>
      </c>
      <c r="D96" s="382">
        <f t="shared" si="11"/>
        <v>0.36269454788503774</v>
      </c>
      <c r="E96" s="383">
        <v>9338</v>
      </c>
      <c r="F96" s="382">
        <f t="shared" si="12"/>
        <v>0.4458130430631147</v>
      </c>
      <c r="G96" s="383">
        <v>3032</v>
      </c>
      <c r="H96" s="382">
        <f t="shared" si="13"/>
        <v>0.14475317483051656</v>
      </c>
      <c r="I96" s="383">
        <v>229</v>
      </c>
      <c r="J96" s="382">
        <f t="shared" si="14"/>
        <v>1.0932875011935453E-2</v>
      </c>
      <c r="K96" s="383">
        <v>0</v>
      </c>
      <c r="L96" s="382">
        <f t="shared" si="15"/>
        <v>0</v>
      </c>
      <c r="M96" s="383">
        <v>65</v>
      </c>
      <c r="N96" s="382">
        <f t="shared" si="16"/>
        <v>3.1032177981476176E-3</v>
      </c>
      <c r="O96" s="383">
        <v>158</v>
      </c>
      <c r="P96" s="382">
        <f t="shared" si="17"/>
        <v>7.5432063401126709E-3</v>
      </c>
      <c r="Q96" s="383">
        <v>2</v>
      </c>
      <c r="R96" s="382">
        <f t="shared" si="18"/>
        <v>9.5483624558388236E-5</v>
      </c>
      <c r="S96" s="383">
        <v>4</v>
      </c>
      <c r="T96" s="382">
        <f t="shared" si="19"/>
        <v>1.9096724911677647E-4</v>
      </c>
      <c r="U96" s="383">
        <v>521</v>
      </c>
      <c r="V96" s="382">
        <f t="shared" si="20"/>
        <v>2.4873484197460136E-2</v>
      </c>
      <c r="W96" s="384">
        <f t="shared" si="21"/>
        <v>20946</v>
      </c>
      <c r="X96" s="385">
        <v>0</v>
      </c>
      <c r="Y96" s="385">
        <v>0</v>
      </c>
      <c r="Z96" s="385">
        <v>0</v>
      </c>
    </row>
    <row r="97" spans="1:26">
      <c r="A97" s="379">
        <v>90</v>
      </c>
      <c r="B97" s="380" t="s">
        <v>108</v>
      </c>
      <c r="C97" s="381">
        <v>234</v>
      </c>
      <c r="D97" s="382">
        <f t="shared" si="11"/>
        <v>6.2200956937799042E-2</v>
      </c>
      <c r="E97" s="383">
        <v>1128</v>
      </c>
      <c r="F97" s="382">
        <f t="shared" si="12"/>
        <v>0.29984051036682613</v>
      </c>
      <c r="G97" s="383">
        <v>1279</v>
      </c>
      <c r="H97" s="382">
        <f t="shared" si="13"/>
        <v>0.33997873471557682</v>
      </c>
      <c r="I97" s="383">
        <v>709</v>
      </c>
      <c r="J97" s="382">
        <f t="shared" si="14"/>
        <v>0.18846358320042531</v>
      </c>
      <c r="K97" s="383">
        <v>5</v>
      </c>
      <c r="L97" s="382">
        <f t="shared" si="15"/>
        <v>1.3290802764486975E-3</v>
      </c>
      <c r="M97" s="383">
        <v>21</v>
      </c>
      <c r="N97" s="382">
        <f t="shared" si="16"/>
        <v>5.5821371610845294E-3</v>
      </c>
      <c r="O97" s="383">
        <v>225</v>
      </c>
      <c r="P97" s="382">
        <f t="shared" si="17"/>
        <v>5.9808612440191387E-2</v>
      </c>
      <c r="Q97" s="383">
        <v>66</v>
      </c>
      <c r="R97" s="382">
        <f t="shared" si="18"/>
        <v>1.7543859649122806E-2</v>
      </c>
      <c r="S97" s="383">
        <v>0</v>
      </c>
      <c r="T97" s="382">
        <f t="shared" si="19"/>
        <v>0</v>
      </c>
      <c r="U97" s="383">
        <v>95</v>
      </c>
      <c r="V97" s="382">
        <f t="shared" si="20"/>
        <v>2.5252525252525252E-2</v>
      </c>
      <c r="W97" s="384">
        <f t="shared" si="21"/>
        <v>3762</v>
      </c>
      <c r="X97" s="385">
        <v>0</v>
      </c>
      <c r="Y97" s="385">
        <v>0</v>
      </c>
      <c r="Z97" s="385">
        <v>0</v>
      </c>
    </row>
    <row r="98" spans="1:26">
      <c r="A98" s="379">
        <v>91</v>
      </c>
      <c r="B98" s="380" t="s">
        <v>109</v>
      </c>
      <c r="C98" s="381">
        <v>2489</v>
      </c>
      <c r="D98" s="382">
        <f t="shared" si="11"/>
        <v>0.14013061592163045</v>
      </c>
      <c r="E98" s="383">
        <v>7524</v>
      </c>
      <c r="F98" s="382">
        <f t="shared" si="12"/>
        <v>0.42360094583943247</v>
      </c>
      <c r="G98" s="383">
        <v>5927</v>
      </c>
      <c r="H98" s="382">
        <f t="shared" si="13"/>
        <v>0.33368989978606012</v>
      </c>
      <c r="I98" s="383">
        <v>1149</v>
      </c>
      <c r="J98" s="382">
        <f t="shared" si="14"/>
        <v>6.468866118680329E-2</v>
      </c>
      <c r="K98" s="383">
        <v>61</v>
      </c>
      <c r="L98" s="382">
        <f t="shared" si="15"/>
        <v>3.4342979394212363E-3</v>
      </c>
      <c r="M98" s="383">
        <v>85</v>
      </c>
      <c r="N98" s="382">
        <f t="shared" si="16"/>
        <v>4.7854971287017226E-3</v>
      </c>
      <c r="O98" s="383">
        <v>0</v>
      </c>
      <c r="P98" s="382">
        <f t="shared" si="17"/>
        <v>0</v>
      </c>
      <c r="Q98" s="383">
        <v>0</v>
      </c>
      <c r="R98" s="382">
        <f t="shared" si="18"/>
        <v>0</v>
      </c>
      <c r="S98" s="383">
        <v>4</v>
      </c>
      <c r="T98" s="382">
        <f t="shared" si="19"/>
        <v>2.2519986488008108E-4</v>
      </c>
      <c r="U98" s="383">
        <v>523</v>
      </c>
      <c r="V98" s="382">
        <f t="shared" si="20"/>
        <v>2.9444882333070601E-2</v>
      </c>
      <c r="W98" s="384">
        <f t="shared" si="21"/>
        <v>17762</v>
      </c>
      <c r="X98" s="385">
        <v>0</v>
      </c>
      <c r="Y98" s="385">
        <v>0</v>
      </c>
      <c r="Z98" s="385">
        <v>0</v>
      </c>
    </row>
    <row r="99" spans="1:26">
      <c r="A99" s="379">
        <v>92</v>
      </c>
      <c r="B99" s="380" t="s">
        <v>608</v>
      </c>
      <c r="C99" s="381">
        <v>5330</v>
      </c>
      <c r="D99" s="382">
        <f t="shared" si="11"/>
        <v>0.29597956463793867</v>
      </c>
      <c r="E99" s="383">
        <v>4668</v>
      </c>
      <c r="F99" s="382">
        <f t="shared" si="12"/>
        <v>0.25921812527765437</v>
      </c>
      <c r="G99" s="383">
        <v>4300</v>
      </c>
      <c r="H99" s="382">
        <f t="shared" si="13"/>
        <v>0.23878276321634828</v>
      </c>
      <c r="I99" s="383">
        <v>1072</v>
      </c>
      <c r="J99" s="382">
        <f t="shared" si="14"/>
        <v>5.9529098178587293E-2</v>
      </c>
      <c r="K99" s="383">
        <v>1958</v>
      </c>
      <c r="L99" s="382">
        <f t="shared" si="15"/>
        <v>0.10872945357618836</v>
      </c>
      <c r="M99" s="383">
        <v>0</v>
      </c>
      <c r="N99" s="382">
        <f t="shared" si="16"/>
        <v>0</v>
      </c>
      <c r="O99" s="383">
        <v>95</v>
      </c>
      <c r="P99" s="382">
        <f t="shared" si="17"/>
        <v>5.2754331408262998E-3</v>
      </c>
      <c r="Q99" s="383">
        <v>0</v>
      </c>
      <c r="R99" s="382">
        <f t="shared" si="18"/>
        <v>0</v>
      </c>
      <c r="S99" s="383">
        <v>2</v>
      </c>
      <c r="T99" s="382">
        <f t="shared" si="19"/>
        <v>1.1106175033318525E-4</v>
      </c>
      <c r="U99" s="383">
        <v>583</v>
      </c>
      <c r="V99" s="382">
        <f t="shared" si="20"/>
        <v>3.2374500222123501E-2</v>
      </c>
      <c r="W99" s="384">
        <f t="shared" si="21"/>
        <v>18008</v>
      </c>
      <c r="X99" s="385">
        <v>0</v>
      </c>
      <c r="Y99" s="385">
        <v>0</v>
      </c>
      <c r="Z99" s="385">
        <v>0</v>
      </c>
    </row>
    <row r="100" spans="1:26">
      <c r="A100" s="379">
        <v>93</v>
      </c>
      <c r="B100" s="380" t="s">
        <v>609</v>
      </c>
      <c r="C100" s="381">
        <v>1523</v>
      </c>
      <c r="D100" s="382">
        <f t="shared" si="11"/>
        <v>0.11351270775881345</v>
      </c>
      <c r="E100" s="383">
        <v>4431</v>
      </c>
      <c r="F100" s="382">
        <f t="shared" si="12"/>
        <v>0.33025266453007379</v>
      </c>
      <c r="G100" s="383">
        <v>4666</v>
      </c>
      <c r="H100" s="382">
        <f t="shared" si="13"/>
        <v>0.34776775732279941</v>
      </c>
      <c r="I100" s="383">
        <v>436</v>
      </c>
      <c r="J100" s="382">
        <f t="shared" si="14"/>
        <v>3.2496087053737792E-2</v>
      </c>
      <c r="K100" s="383">
        <v>426</v>
      </c>
      <c r="L100" s="382">
        <f t="shared" si="15"/>
        <v>3.1750763956175002E-2</v>
      </c>
      <c r="M100" s="383">
        <v>1441</v>
      </c>
      <c r="N100" s="382">
        <f t="shared" si="16"/>
        <v>0.10740105835879854</v>
      </c>
      <c r="O100" s="383">
        <v>29</v>
      </c>
      <c r="P100" s="382">
        <f t="shared" si="17"/>
        <v>2.1614369829321013E-3</v>
      </c>
      <c r="Q100" s="383">
        <v>136</v>
      </c>
      <c r="R100" s="382">
        <f t="shared" si="18"/>
        <v>1.0136394126853991E-2</v>
      </c>
      <c r="S100" s="383">
        <v>1</v>
      </c>
      <c r="T100" s="382">
        <f t="shared" si="19"/>
        <v>7.4532309756279353E-5</v>
      </c>
      <c r="U100" s="383">
        <v>328</v>
      </c>
      <c r="V100" s="382">
        <f t="shared" si="20"/>
        <v>2.4446597600059627E-2</v>
      </c>
      <c r="W100" s="384">
        <f t="shared" si="21"/>
        <v>13417</v>
      </c>
      <c r="X100" s="385">
        <v>0</v>
      </c>
      <c r="Y100" s="385">
        <v>0</v>
      </c>
      <c r="Z100" s="385">
        <v>0</v>
      </c>
    </row>
    <row r="101" spans="1:26">
      <c r="A101" s="379">
        <v>94</v>
      </c>
      <c r="B101" s="388" t="s">
        <v>110</v>
      </c>
      <c r="C101" s="381">
        <v>532</v>
      </c>
      <c r="D101" s="382">
        <f t="shared" si="11"/>
        <v>7.0435588507877664E-2</v>
      </c>
      <c r="E101" s="383">
        <v>3097</v>
      </c>
      <c r="F101" s="382">
        <f t="shared" si="12"/>
        <v>0.41003574738514498</v>
      </c>
      <c r="G101" s="383">
        <v>1714</v>
      </c>
      <c r="H101" s="382">
        <f t="shared" si="13"/>
        <v>0.22692969680921488</v>
      </c>
      <c r="I101" s="383">
        <v>1926</v>
      </c>
      <c r="J101" s="382">
        <f t="shared" si="14"/>
        <v>0.25499801403415862</v>
      </c>
      <c r="K101" s="383">
        <v>0</v>
      </c>
      <c r="L101" s="382">
        <f t="shared" si="15"/>
        <v>0</v>
      </c>
      <c r="M101" s="383">
        <v>33</v>
      </c>
      <c r="N101" s="382">
        <f t="shared" si="16"/>
        <v>4.369124851052562E-3</v>
      </c>
      <c r="O101" s="383">
        <v>0</v>
      </c>
      <c r="P101" s="382">
        <f t="shared" si="17"/>
        <v>0</v>
      </c>
      <c r="Q101" s="383">
        <v>52</v>
      </c>
      <c r="R101" s="382">
        <f t="shared" si="18"/>
        <v>6.8846815834767644E-3</v>
      </c>
      <c r="S101" s="383">
        <v>0</v>
      </c>
      <c r="T101" s="382">
        <f t="shared" si="19"/>
        <v>0</v>
      </c>
      <c r="U101" s="383">
        <v>199</v>
      </c>
      <c r="V101" s="382">
        <f t="shared" si="20"/>
        <v>2.634714682907454E-2</v>
      </c>
      <c r="W101" s="384">
        <f t="shared" si="21"/>
        <v>7553</v>
      </c>
      <c r="X101" s="385">
        <v>0</v>
      </c>
      <c r="Y101" s="385">
        <v>0</v>
      </c>
      <c r="Z101" s="385">
        <v>0</v>
      </c>
    </row>
    <row r="102" spans="1:26">
      <c r="A102" s="379">
        <v>95</v>
      </c>
      <c r="B102" s="388" t="s">
        <v>610</v>
      </c>
      <c r="C102" s="381">
        <v>277</v>
      </c>
      <c r="D102" s="382">
        <f t="shared" si="11"/>
        <v>5.1554066629443514E-2</v>
      </c>
      <c r="E102" s="383">
        <v>2437</v>
      </c>
      <c r="F102" s="382">
        <f t="shared" si="12"/>
        <v>0.45356411688069981</v>
      </c>
      <c r="G102" s="383">
        <v>1914</v>
      </c>
      <c r="H102" s="382">
        <f t="shared" si="13"/>
        <v>0.35622557230597429</v>
      </c>
      <c r="I102" s="383">
        <v>648</v>
      </c>
      <c r="J102" s="382">
        <f t="shared" si="14"/>
        <v>0.12060301507537688</v>
      </c>
      <c r="K102" s="383">
        <v>0</v>
      </c>
      <c r="L102" s="382">
        <f t="shared" si="15"/>
        <v>0</v>
      </c>
      <c r="M102" s="383">
        <v>21</v>
      </c>
      <c r="N102" s="382">
        <f t="shared" si="16"/>
        <v>3.9084310441094361E-3</v>
      </c>
      <c r="O102" s="383">
        <v>0</v>
      </c>
      <c r="P102" s="382">
        <f t="shared" si="17"/>
        <v>0</v>
      </c>
      <c r="Q102" s="383">
        <v>0</v>
      </c>
      <c r="R102" s="382">
        <f t="shared" si="18"/>
        <v>0</v>
      </c>
      <c r="S102" s="383">
        <v>3</v>
      </c>
      <c r="T102" s="382">
        <f t="shared" si="19"/>
        <v>5.5834729201563373E-4</v>
      </c>
      <c r="U102" s="383">
        <v>73</v>
      </c>
      <c r="V102" s="382">
        <f t="shared" si="20"/>
        <v>1.358645077238042E-2</v>
      </c>
      <c r="W102" s="384">
        <f t="shared" si="21"/>
        <v>5373</v>
      </c>
      <c r="X102" s="385">
        <v>0</v>
      </c>
      <c r="Y102" s="385">
        <v>0</v>
      </c>
      <c r="Z102" s="385">
        <v>0</v>
      </c>
    </row>
    <row r="103" spans="1:26" ht="15">
      <c r="A103" s="379">
        <v>96</v>
      </c>
      <c r="B103" s="388" t="s">
        <v>611</v>
      </c>
      <c r="C103" s="381">
        <f>8277-'[4]Cas anuladas TEEM'!E113</f>
        <v>6280</v>
      </c>
      <c r="D103" s="382">
        <f t="shared" si="11"/>
        <v>0.4140841355663985</v>
      </c>
      <c r="E103" s="383">
        <f>7431-'[4]Cas anuladas TEEM'!F113</f>
        <v>5929</v>
      </c>
      <c r="F103" s="382">
        <f t="shared" si="12"/>
        <v>0.3909402611103785</v>
      </c>
      <c r="G103" s="383">
        <f>1663-'[4]Cas anuladas TEEM'!G113</f>
        <v>1294</v>
      </c>
      <c r="H103" s="382">
        <f t="shared" si="13"/>
        <v>8.5322431755241984E-2</v>
      </c>
      <c r="I103" s="383">
        <f>800-'[4]Cas anuladas TEEM'!H113</f>
        <v>641</v>
      </c>
      <c r="J103" s="382">
        <f t="shared" si="14"/>
        <v>4.2265594092048005E-2</v>
      </c>
      <c r="K103" s="383">
        <f>133-'[4]Cas anuladas TEEM'!I113</f>
        <v>101</v>
      </c>
      <c r="L103" s="382">
        <f t="shared" si="15"/>
        <v>6.6596333904787022E-3</v>
      </c>
      <c r="M103" s="383">
        <f>0-'[4]Cas anuladas TEEM'!J113</f>
        <v>0</v>
      </c>
      <c r="N103" s="382">
        <f t="shared" si="16"/>
        <v>0</v>
      </c>
      <c r="O103" s="383">
        <f>588-'[4]Cas anuladas TEEM'!K113</f>
        <v>477</v>
      </c>
      <c r="P103" s="382">
        <f t="shared" si="17"/>
        <v>3.1451931953052882E-2</v>
      </c>
      <c r="Q103" s="383">
        <f>208-'[4]Cas anuladas TEEM'!L113</f>
        <v>157</v>
      </c>
      <c r="R103" s="382">
        <f t="shared" si="18"/>
        <v>1.0352103389159963E-2</v>
      </c>
      <c r="S103" s="383">
        <f>0-'[4]Cas anuladas TEEM'!M113</f>
        <v>0</v>
      </c>
      <c r="T103" s="382">
        <f t="shared" si="19"/>
        <v>0</v>
      </c>
      <c r="U103" s="383">
        <f>379-'[4]Cas anuladas TEEM'!N113</f>
        <v>287</v>
      </c>
      <c r="V103" s="382">
        <f t="shared" si="20"/>
        <v>1.8923908743241461E-2</v>
      </c>
      <c r="W103" s="384">
        <f t="shared" si="21"/>
        <v>15166</v>
      </c>
      <c r="X103" s="385">
        <f>'[4]Cas anuladas TEEM'!O113</f>
        <v>4313</v>
      </c>
      <c r="Y103" s="385">
        <v>0</v>
      </c>
      <c r="Z103" s="385">
        <v>0</v>
      </c>
    </row>
    <row r="104" spans="1:26">
      <c r="A104" s="379">
        <v>97</v>
      </c>
      <c r="B104" s="388" t="s">
        <v>113</v>
      </c>
      <c r="C104" s="381">
        <v>3835</v>
      </c>
      <c r="D104" s="382">
        <f t="shared" si="11"/>
        <v>0.3946285243877341</v>
      </c>
      <c r="E104" s="383">
        <v>4354</v>
      </c>
      <c r="F104" s="382">
        <f t="shared" si="12"/>
        <v>0.44803457501543525</v>
      </c>
      <c r="G104" s="383">
        <v>1323</v>
      </c>
      <c r="H104" s="382">
        <f t="shared" si="13"/>
        <v>0.13613912327639432</v>
      </c>
      <c r="I104" s="383">
        <v>62</v>
      </c>
      <c r="J104" s="382">
        <f t="shared" si="14"/>
        <v>6.3799135624614117E-3</v>
      </c>
      <c r="K104" s="383">
        <v>0</v>
      </c>
      <c r="L104" s="382">
        <f t="shared" si="15"/>
        <v>0</v>
      </c>
      <c r="M104" s="383">
        <v>0</v>
      </c>
      <c r="N104" s="382">
        <f t="shared" si="16"/>
        <v>0</v>
      </c>
      <c r="O104" s="383">
        <v>28</v>
      </c>
      <c r="P104" s="382">
        <f t="shared" si="17"/>
        <v>2.8812512862728956E-3</v>
      </c>
      <c r="Q104" s="383">
        <v>0</v>
      </c>
      <c r="R104" s="382">
        <f t="shared" si="18"/>
        <v>0</v>
      </c>
      <c r="S104" s="383">
        <v>1</v>
      </c>
      <c r="T104" s="382">
        <f t="shared" si="19"/>
        <v>1.0290183165260341E-4</v>
      </c>
      <c r="U104" s="383">
        <v>115</v>
      </c>
      <c r="V104" s="382">
        <f t="shared" si="20"/>
        <v>1.1833710640049393E-2</v>
      </c>
      <c r="W104" s="384">
        <f t="shared" si="21"/>
        <v>9718</v>
      </c>
      <c r="X104" s="385">
        <v>0</v>
      </c>
      <c r="Y104" s="385">
        <v>0</v>
      </c>
      <c r="Z104" s="385">
        <v>0</v>
      </c>
    </row>
    <row r="105" spans="1:26">
      <c r="A105" s="379">
        <v>98</v>
      </c>
      <c r="B105" s="388" t="s">
        <v>612</v>
      </c>
      <c r="C105" s="381">
        <v>388</v>
      </c>
      <c r="D105" s="382">
        <f t="shared" si="11"/>
        <v>6.8941009239516696E-2</v>
      </c>
      <c r="E105" s="383">
        <v>2861</v>
      </c>
      <c r="F105" s="382">
        <f t="shared" si="12"/>
        <v>0.50835110163468378</v>
      </c>
      <c r="G105" s="383">
        <v>2073</v>
      </c>
      <c r="H105" s="382">
        <f t="shared" si="13"/>
        <v>0.3683368869936034</v>
      </c>
      <c r="I105" s="383">
        <v>47</v>
      </c>
      <c r="J105" s="382">
        <f t="shared" si="14"/>
        <v>8.3511016346837236E-3</v>
      </c>
      <c r="K105" s="383">
        <v>0</v>
      </c>
      <c r="L105" s="382">
        <f t="shared" si="15"/>
        <v>0</v>
      </c>
      <c r="M105" s="383">
        <v>8</v>
      </c>
      <c r="N105" s="382">
        <f t="shared" si="16"/>
        <v>1.4214641080312722E-3</v>
      </c>
      <c r="O105" s="383">
        <v>22</v>
      </c>
      <c r="P105" s="382">
        <f t="shared" si="17"/>
        <v>3.9090262970859985E-3</v>
      </c>
      <c r="Q105" s="383">
        <v>0</v>
      </c>
      <c r="R105" s="382">
        <f t="shared" si="18"/>
        <v>0</v>
      </c>
      <c r="S105" s="383">
        <v>1</v>
      </c>
      <c r="T105" s="382">
        <f t="shared" si="19"/>
        <v>1.7768301350390902E-4</v>
      </c>
      <c r="U105" s="383">
        <v>228</v>
      </c>
      <c r="V105" s="382">
        <f t="shared" si="20"/>
        <v>4.0511727078891259E-2</v>
      </c>
      <c r="W105" s="384">
        <f t="shared" si="21"/>
        <v>5628</v>
      </c>
      <c r="X105" s="385">
        <v>0</v>
      </c>
      <c r="Y105" s="385">
        <v>0</v>
      </c>
      <c r="Z105" s="385">
        <v>0</v>
      </c>
    </row>
    <row r="106" spans="1:26">
      <c r="A106" s="379">
        <v>99</v>
      </c>
      <c r="B106" s="388" t="s">
        <v>115</v>
      </c>
      <c r="C106" s="381">
        <v>155</v>
      </c>
      <c r="D106" s="382">
        <f t="shared" si="11"/>
        <v>8.7521174477696223E-2</v>
      </c>
      <c r="E106" s="383">
        <v>871</v>
      </c>
      <c r="F106" s="382">
        <f t="shared" si="12"/>
        <v>0.49181253529079616</v>
      </c>
      <c r="G106" s="383">
        <v>622</v>
      </c>
      <c r="H106" s="382">
        <f t="shared" si="13"/>
        <v>0.35121400338791642</v>
      </c>
      <c r="I106" s="383">
        <v>6</v>
      </c>
      <c r="J106" s="382">
        <f t="shared" si="14"/>
        <v>3.3879164313946925E-3</v>
      </c>
      <c r="K106" s="383">
        <v>0</v>
      </c>
      <c r="L106" s="382">
        <f t="shared" si="15"/>
        <v>0</v>
      </c>
      <c r="M106" s="383">
        <v>1</v>
      </c>
      <c r="N106" s="382">
        <f t="shared" si="16"/>
        <v>5.6465273856578201E-4</v>
      </c>
      <c r="O106" s="383">
        <v>0</v>
      </c>
      <c r="P106" s="382">
        <f t="shared" si="17"/>
        <v>0</v>
      </c>
      <c r="Q106" s="383">
        <v>0</v>
      </c>
      <c r="R106" s="382">
        <f t="shared" si="18"/>
        <v>0</v>
      </c>
      <c r="S106" s="383">
        <v>1</v>
      </c>
      <c r="T106" s="382">
        <f t="shared" si="19"/>
        <v>5.6465273856578201E-4</v>
      </c>
      <c r="U106" s="383">
        <v>115</v>
      </c>
      <c r="V106" s="382">
        <f t="shared" si="20"/>
        <v>6.4935064935064929E-2</v>
      </c>
      <c r="W106" s="384">
        <f t="shared" si="21"/>
        <v>1771</v>
      </c>
      <c r="X106" s="385">
        <v>0</v>
      </c>
      <c r="Y106" s="385">
        <v>0</v>
      </c>
      <c r="Z106" s="385">
        <v>0</v>
      </c>
    </row>
    <row r="107" spans="1:26" ht="15">
      <c r="A107" s="379">
        <v>100</v>
      </c>
      <c r="B107" s="388" t="s">
        <v>613</v>
      </c>
      <c r="C107" s="381">
        <f>7259-'[4]Cas anuladas TEEM'!E114</f>
        <v>7203</v>
      </c>
      <c r="D107" s="382">
        <f t="shared" si="11"/>
        <v>0.1478448275862069</v>
      </c>
      <c r="E107" s="383">
        <f>16508-'[4]Cas anuladas TEEM'!F114</f>
        <v>16443</v>
      </c>
      <c r="F107" s="382">
        <f t="shared" si="12"/>
        <v>0.33750000000000002</v>
      </c>
      <c r="G107" s="383">
        <f>18865-'[4]Cas anuladas TEEM'!G114</f>
        <v>18797</v>
      </c>
      <c r="H107" s="382">
        <f t="shared" si="13"/>
        <v>0.38581691297208537</v>
      </c>
      <c r="I107" s="383">
        <f>737-'[4]Cas anuladas TEEM'!H114</f>
        <v>732</v>
      </c>
      <c r="J107" s="382">
        <f t="shared" si="14"/>
        <v>1.5024630541871921E-2</v>
      </c>
      <c r="K107" s="383">
        <f>1042-'[4]Cas anuladas TEEM'!I114</f>
        <v>1031</v>
      </c>
      <c r="L107" s="382">
        <f t="shared" si="15"/>
        <v>2.1161740558292282E-2</v>
      </c>
      <c r="M107" s="383">
        <f>238-'[4]Cas anuladas TEEM'!J114</f>
        <v>238</v>
      </c>
      <c r="N107" s="382">
        <f t="shared" si="16"/>
        <v>4.8850574712643677E-3</v>
      </c>
      <c r="O107" s="383">
        <f>605-'[4]Cas anuladas TEEM'!K114</f>
        <v>602</v>
      </c>
      <c r="P107" s="382">
        <f t="shared" si="17"/>
        <v>1.235632183908046E-2</v>
      </c>
      <c r="Q107" s="383">
        <f>2262-'[4]Cas anuladas TEEM'!L114</f>
        <v>2257</v>
      </c>
      <c r="R107" s="382">
        <f t="shared" si="18"/>
        <v>4.6325944170771759E-2</v>
      </c>
      <c r="S107" s="383">
        <f>20-'[4]Cas anuladas TEEM'!M114</f>
        <v>20</v>
      </c>
      <c r="T107" s="382">
        <f t="shared" si="19"/>
        <v>4.1050903119868636E-4</v>
      </c>
      <c r="U107" s="383">
        <f>1402-'[4]Cas anuladas TEEM'!N114</f>
        <v>1397</v>
      </c>
      <c r="V107" s="382">
        <f t="shared" si="20"/>
        <v>2.8674055829228242E-2</v>
      </c>
      <c r="W107" s="384">
        <f t="shared" si="21"/>
        <v>48720</v>
      </c>
      <c r="X107" s="385">
        <f>'[4]Cas anuladas TEEM'!O114</f>
        <v>218</v>
      </c>
      <c r="Y107" s="385">
        <v>0</v>
      </c>
      <c r="Z107" s="385">
        <v>0</v>
      </c>
    </row>
    <row r="108" spans="1:26">
      <c r="A108" s="379">
        <v>101</v>
      </c>
      <c r="B108" s="388" t="s">
        <v>117</v>
      </c>
      <c r="C108" s="381">
        <v>1911</v>
      </c>
      <c r="D108" s="382">
        <f t="shared" si="11"/>
        <v>0.26203208556149732</v>
      </c>
      <c r="E108" s="383">
        <v>2173</v>
      </c>
      <c r="F108" s="382">
        <f t="shared" si="12"/>
        <v>0.29795694501576853</v>
      </c>
      <c r="G108" s="383">
        <v>1483</v>
      </c>
      <c r="H108" s="382">
        <f t="shared" si="13"/>
        <v>0.20334567393390923</v>
      </c>
      <c r="I108" s="383">
        <v>1551</v>
      </c>
      <c r="J108" s="382">
        <f t="shared" si="14"/>
        <v>0.21266968325791855</v>
      </c>
      <c r="K108" s="383">
        <v>0</v>
      </c>
      <c r="L108" s="382">
        <f t="shared" si="15"/>
        <v>0</v>
      </c>
      <c r="M108" s="383">
        <v>0</v>
      </c>
      <c r="N108" s="382">
        <f t="shared" si="16"/>
        <v>0</v>
      </c>
      <c r="O108" s="383">
        <v>67</v>
      </c>
      <c r="P108" s="382">
        <f t="shared" si="17"/>
        <v>9.1868915398327158E-3</v>
      </c>
      <c r="Q108" s="383">
        <v>0</v>
      </c>
      <c r="R108" s="382">
        <f t="shared" si="18"/>
        <v>0</v>
      </c>
      <c r="S108" s="383">
        <v>3</v>
      </c>
      <c r="T108" s="382">
        <f t="shared" si="19"/>
        <v>4.1135335252982314E-4</v>
      </c>
      <c r="U108" s="383">
        <v>105</v>
      </c>
      <c r="V108" s="382">
        <f t="shared" si="20"/>
        <v>1.4397367338543809E-2</v>
      </c>
      <c r="W108" s="384">
        <f t="shared" si="21"/>
        <v>7293</v>
      </c>
      <c r="X108" s="385">
        <v>0</v>
      </c>
      <c r="Y108" s="385">
        <v>0</v>
      </c>
      <c r="Z108" s="385">
        <v>0</v>
      </c>
    </row>
    <row r="109" spans="1:26">
      <c r="A109" s="379">
        <v>102</v>
      </c>
      <c r="B109" s="388" t="s">
        <v>118</v>
      </c>
      <c r="C109" s="381">
        <v>6729</v>
      </c>
      <c r="D109" s="382">
        <f t="shared" si="11"/>
        <v>0.40501986276634167</v>
      </c>
      <c r="E109" s="383">
        <v>6241</v>
      </c>
      <c r="F109" s="382">
        <f t="shared" si="12"/>
        <v>0.37564704466112919</v>
      </c>
      <c r="G109" s="383">
        <v>2575</v>
      </c>
      <c r="H109" s="382">
        <f t="shared" si="13"/>
        <v>0.15498976766582401</v>
      </c>
      <c r="I109" s="383">
        <v>383</v>
      </c>
      <c r="J109" s="382">
        <f t="shared" si="14"/>
        <v>2.3052846996508967E-2</v>
      </c>
      <c r="K109" s="383">
        <v>0</v>
      </c>
      <c r="L109" s="382">
        <f t="shared" si="15"/>
        <v>0</v>
      </c>
      <c r="M109" s="383">
        <v>34</v>
      </c>
      <c r="N109" s="382">
        <f t="shared" si="16"/>
        <v>2.0464668351992295E-3</v>
      </c>
      <c r="O109" s="383">
        <v>0</v>
      </c>
      <c r="P109" s="382">
        <f t="shared" si="17"/>
        <v>0</v>
      </c>
      <c r="Q109" s="383">
        <v>103</v>
      </c>
      <c r="R109" s="382">
        <f t="shared" si="18"/>
        <v>6.1995907066329601E-3</v>
      </c>
      <c r="S109" s="383">
        <v>1</v>
      </c>
      <c r="T109" s="382">
        <f t="shared" si="19"/>
        <v>6.0190201035271456E-5</v>
      </c>
      <c r="U109" s="383">
        <v>548</v>
      </c>
      <c r="V109" s="382">
        <f t="shared" si="20"/>
        <v>3.2984230167328758E-2</v>
      </c>
      <c r="W109" s="384">
        <f t="shared" si="21"/>
        <v>16614</v>
      </c>
      <c r="X109" s="385">
        <v>0</v>
      </c>
      <c r="Y109" s="385">
        <v>0</v>
      </c>
      <c r="Z109" s="385">
        <v>0</v>
      </c>
    </row>
    <row r="110" spans="1:26">
      <c r="A110" s="379">
        <v>103</v>
      </c>
      <c r="B110" s="388" t="s">
        <v>119</v>
      </c>
      <c r="C110" s="381">
        <v>2417</v>
      </c>
      <c r="D110" s="382">
        <f t="shared" si="11"/>
        <v>0.39930612919213615</v>
      </c>
      <c r="E110" s="383">
        <v>3192</v>
      </c>
      <c r="F110" s="382">
        <f t="shared" si="12"/>
        <v>0.52734181397654056</v>
      </c>
      <c r="G110" s="383">
        <v>230</v>
      </c>
      <c r="H110" s="382">
        <f t="shared" si="13"/>
        <v>3.7997687097307123E-2</v>
      </c>
      <c r="I110" s="383">
        <v>54</v>
      </c>
      <c r="J110" s="382">
        <f t="shared" si="14"/>
        <v>8.9211961011068895E-3</v>
      </c>
      <c r="K110" s="383">
        <v>0</v>
      </c>
      <c r="L110" s="382">
        <f t="shared" si="15"/>
        <v>0</v>
      </c>
      <c r="M110" s="383">
        <v>0</v>
      </c>
      <c r="N110" s="382">
        <f t="shared" si="16"/>
        <v>0</v>
      </c>
      <c r="O110" s="383">
        <v>16</v>
      </c>
      <c r="P110" s="382">
        <f t="shared" si="17"/>
        <v>2.64331736329093E-3</v>
      </c>
      <c r="Q110" s="383">
        <v>0</v>
      </c>
      <c r="R110" s="382">
        <f t="shared" si="18"/>
        <v>0</v>
      </c>
      <c r="S110" s="383">
        <v>4</v>
      </c>
      <c r="T110" s="382">
        <f t="shared" si="19"/>
        <v>6.6082934082273249E-4</v>
      </c>
      <c r="U110" s="383">
        <v>140</v>
      </c>
      <c r="V110" s="382">
        <f t="shared" si="20"/>
        <v>2.3129026928795638E-2</v>
      </c>
      <c r="W110" s="384">
        <f t="shared" si="21"/>
        <v>6053</v>
      </c>
      <c r="X110" s="385">
        <v>0</v>
      </c>
      <c r="Y110" s="385">
        <v>0</v>
      </c>
      <c r="Z110" s="385">
        <v>0</v>
      </c>
    </row>
    <row r="111" spans="1:26">
      <c r="A111" s="379">
        <v>104</v>
      </c>
      <c r="B111" s="388" t="s">
        <v>120</v>
      </c>
      <c r="C111" s="381">
        <v>1980</v>
      </c>
      <c r="D111" s="382">
        <f t="shared" si="11"/>
        <v>0.13678756476683937</v>
      </c>
      <c r="E111" s="383">
        <v>4855</v>
      </c>
      <c r="F111" s="382">
        <f t="shared" si="12"/>
        <v>0.33540587219343698</v>
      </c>
      <c r="G111" s="383">
        <v>3706</v>
      </c>
      <c r="H111" s="382">
        <f t="shared" si="13"/>
        <v>0.25602763385146804</v>
      </c>
      <c r="I111" s="383">
        <v>188</v>
      </c>
      <c r="J111" s="382">
        <f t="shared" si="14"/>
        <v>1.2987910189982729E-2</v>
      </c>
      <c r="K111" s="383">
        <v>2786</v>
      </c>
      <c r="L111" s="382">
        <f t="shared" si="15"/>
        <v>0.19246977547495683</v>
      </c>
      <c r="M111" s="383">
        <v>0</v>
      </c>
      <c r="N111" s="382">
        <f t="shared" si="16"/>
        <v>0</v>
      </c>
      <c r="O111" s="383">
        <v>103</v>
      </c>
      <c r="P111" s="382">
        <f t="shared" si="17"/>
        <v>7.1157167530224528E-3</v>
      </c>
      <c r="Q111" s="383">
        <v>347</v>
      </c>
      <c r="R111" s="382">
        <f t="shared" si="18"/>
        <v>2.3972366148531953E-2</v>
      </c>
      <c r="S111" s="383">
        <v>2</v>
      </c>
      <c r="T111" s="382">
        <f t="shared" si="19"/>
        <v>1.3816925734024181E-4</v>
      </c>
      <c r="U111" s="383">
        <v>508</v>
      </c>
      <c r="V111" s="382">
        <f t="shared" si="20"/>
        <v>3.5094991364421416E-2</v>
      </c>
      <c r="W111" s="384">
        <f t="shared" si="21"/>
        <v>14475</v>
      </c>
      <c r="X111" s="385">
        <v>0</v>
      </c>
      <c r="Y111" s="385">
        <v>0</v>
      </c>
      <c r="Z111" s="385">
        <v>0</v>
      </c>
    </row>
    <row r="112" spans="1:26">
      <c r="A112" s="379">
        <v>105</v>
      </c>
      <c r="B112" s="388" t="s">
        <v>524</v>
      </c>
      <c r="C112" s="381">
        <v>109124</v>
      </c>
      <c r="D112" s="382">
        <f t="shared" si="11"/>
        <v>0.5466175770781676</v>
      </c>
      <c r="E112" s="383">
        <v>39856</v>
      </c>
      <c r="F112" s="382">
        <f t="shared" si="12"/>
        <v>0.19964435094046634</v>
      </c>
      <c r="G112" s="383">
        <v>38200</v>
      </c>
      <c r="H112" s="382">
        <f t="shared" si="13"/>
        <v>0.19134921231247026</v>
      </c>
      <c r="I112" s="383">
        <v>1932</v>
      </c>
      <c r="J112" s="382">
        <f t="shared" si="14"/>
        <v>9.6776617326621087E-3</v>
      </c>
      <c r="K112" s="383">
        <v>2913</v>
      </c>
      <c r="L112" s="382">
        <f t="shared" si="15"/>
        <v>1.4591629724246751E-2</v>
      </c>
      <c r="M112" s="383">
        <v>546</v>
      </c>
      <c r="N112" s="382">
        <f t="shared" si="16"/>
        <v>2.7349913592305958E-3</v>
      </c>
      <c r="O112" s="383">
        <v>676</v>
      </c>
      <c r="P112" s="382">
        <f t="shared" si="17"/>
        <v>3.3861797780950233E-3</v>
      </c>
      <c r="Q112" s="383">
        <v>542</v>
      </c>
      <c r="R112" s="382">
        <f t="shared" si="18"/>
        <v>2.7149547924963059E-3</v>
      </c>
      <c r="S112" s="383">
        <v>691</v>
      </c>
      <c r="T112" s="382">
        <f t="shared" si="19"/>
        <v>3.4613169033486111E-3</v>
      </c>
      <c r="U112" s="383">
        <v>5155</v>
      </c>
      <c r="V112" s="382">
        <f t="shared" si="20"/>
        <v>2.5822125378816341E-2</v>
      </c>
      <c r="W112" s="384">
        <f t="shared" si="21"/>
        <v>199635</v>
      </c>
      <c r="X112" s="385">
        <v>0</v>
      </c>
      <c r="Y112" s="385">
        <v>0</v>
      </c>
      <c r="Z112" s="385">
        <v>0</v>
      </c>
    </row>
    <row r="113" spans="1:26">
      <c r="A113" s="379">
        <v>106</v>
      </c>
      <c r="B113" s="388" t="s">
        <v>121</v>
      </c>
      <c r="C113" s="381">
        <v>246</v>
      </c>
      <c r="D113" s="382">
        <f t="shared" si="11"/>
        <v>1.7507650701017723E-2</v>
      </c>
      <c r="E113" s="383">
        <v>4057</v>
      </c>
      <c r="F113" s="382">
        <f t="shared" si="12"/>
        <v>0.28873389794320686</v>
      </c>
      <c r="G113" s="383">
        <v>5330</v>
      </c>
      <c r="H113" s="382">
        <f t="shared" si="13"/>
        <v>0.37933243185538396</v>
      </c>
      <c r="I113" s="383">
        <v>31</v>
      </c>
      <c r="J113" s="382">
        <f t="shared" si="14"/>
        <v>2.2062486655754039E-3</v>
      </c>
      <c r="K113" s="383">
        <v>3926</v>
      </c>
      <c r="L113" s="382">
        <f t="shared" si="15"/>
        <v>0.27941071809835599</v>
      </c>
      <c r="M113" s="383">
        <v>55</v>
      </c>
      <c r="N113" s="382">
        <f t="shared" si="16"/>
        <v>3.9143121486015231E-3</v>
      </c>
      <c r="O113" s="383">
        <v>1</v>
      </c>
      <c r="P113" s="382">
        <f t="shared" si="17"/>
        <v>7.1169311792754967E-5</v>
      </c>
      <c r="Q113" s="383">
        <v>0</v>
      </c>
      <c r="R113" s="382">
        <f t="shared" si="18"/>
        <v>0</v>
      </c>
      <c r="S113" s="383">
        <v>3</v>
      </c>
      <c r="T113" s="382">
        <f t="shared" si="19"/>
        <v>2.135079353782649E-4</v>
      </c>
      <c r="U113" s="383">
        <v>402</v>
      </c>
      <c r="V113" s="382">
        <f t="shared" si="20"/>
        <v>2.8610063340687497E-2</v>
      </c>
      <c r="W113" s="384">
        <f t="shared" si="21"/>
        <v>14051</v>
      </c>
      <c r="X113" s="385">
        <v>0</v>
      </c>
      <c r="Y113" s="385">
        <v>0</v>
      </c>
      <c r="Z113" s="385">
        <v>0</v>
      </c>
    </row>
    <row r="114" spans="1:26">
      <c r="A114" s="379">
        <v>107</v>
      </c>
      <c r="B114" s="388" t="s">
        <v>122</v>
      </c>
      <c r="C114" s="381">
        <v>78698</v>
      </c>
      <c r="D114" s="382">
        <f t="shared" si="11"/>
        <v>0.39341721781470429</v>
      </c>
      <c r="E114" s="383">
        <v>75887</v>
      </c>
      <c r="F114" s="382">
        <f t="shared" si="12"/>
        <v>0.37936481750876089</v>
      </c>
      <c r="G114" s="383">
        <v>24898</v>
      </c>
      <c r="H114" s="382">
        <f t="shared" si="13"/>
        <v>0.12446697360988217</v>
      </c>
      <c r="I114" s="383">
        <v>6714</v>
      </c>
      <c r="J114" s="382">
        <f t="shared" si="14"/>
        <v>3.3563790698720737E-2</v>
      </c>
      <c r="K114" s="383">
        <v>5500</v>
      </c>
      <c r="L114" s="382">
        <f t="shared" si="15"/>
        <v>2.7494913441013413E-2</v>
      </c>
      <c r="M114" s="383">
        <v>998</v>
      </c>
      <c r="N114" s="382">
        <f t="shared" si="16"/>
        <v>4.989077020751161E-3</v>
      </c>
      <c r="O114" s="383">
        <v>862</v>
      </c>
      <c r="P114" s="382">
        <f t="shared" si="17"/>
        <v>4.3092027974824662E-3</v>
      </c>
      <c r="Q114" s="383">
        <v>1089</v>
      </c>
      <c r="R114" s="382">
        <f t="shared" si="18"/>
        <v>5.4439928613206554E-3</v>
      </c>
      <c r="S114" s="383">
        <v>58</v>
      </c>
      <c r="T114" s="382">
        <f t="shared" si="19"/>
        <v>2.8994635992341417E-4</v>
      </c>
      <c r="U114" s="383">
        <v>5333</v>
      </c>
      <c r="V114" s="382">
        <f t="shared" si="20"/>
        <v>2.6660067887440825E-2</v>
      </c>
      <c r="W114" s="384">
        <f t="shared" si="21"/>
        <v>200037</v>
      </c>
      <c r="X114" s="385">
        <v>0</v>
      </c>
      <c r="Y114" s="385">
        <v>0</v>
      </c>
      <c r="Z114" s="385">
        <v>0</v>
      </c>
    </row>
    <row r="115" spans="1:26">
      <c r="A115" s="379">
        <v>108</v>
      </c>
      <c r="B115" s="388" t="s">
        <v>123</v>
      </c>
      <c r="C115" s="381">
        <v>610</v>
      </c>
      <c r="D115" s="382">
        <f t="shared" si="11"/>
        <v>0.11846960574868906</v>
      </c>
      <c r="E115" s="383">
        <v>2060</v>
      </c>
      <c r="F115" s="382">
        <f t="shared" si="12"/>
        <v>0.40007768498737617</v>
      </c>
      <c r="G115" s="383">
        <v>2284</v>
      </c>
      <c r="H115" s="382">
        <f t="shared" si="13"/>
        <v>0.44358127791804236</v>
      </c>
      <c r="I115" s="383">
        <v>22</v>
      </c>
      <c r="J115" s="382">
        <f t="shared" si="14"/>
        <v>4.272674305690425E-3</v>
      </c>
      <c r="K115" s="383">
        <v>0</v>
      </c>
      <c r="L115" s="382">
        <f t="shared" si="15"/>
        <v>0</v>
      </c>
      <c r="M115" s="383">
        <v>3</v>
      </c>
      <c r="N115" s="382">
        <f t="shared" si="16"/>
        <v>5.8263740532142161E-4</v>
      </c>
      <c r="O115" s="383">
        <v>0</v>
      </c>
      <c r="P115" s="382">
        <f t="shared" si="17"/>
        <v>0</v>
      </c>
      <c r="Q115" s="383">
        <v>0</v>
      </c>
      <c r="R115" s="382">
        <f t="shared" si="18"/>
        <v>0</v>
      </c>
      <c r="S115" s="383">
        <v>2</v>
      </c>
      <c r="T115" s="382">
        <f t="shared" si="19"/>
        <v>3.8842493688094777E-4</v>
      </c>
      <c r="U115" s="383">
        <v>168</v>
      </c>
      <c r="V115" s="382">
        <f t="shared" si="20"/>
        <v>3.2627694697999608E-2</v>
      </c>
      <c r="W115" s="384">
        <f t="shared" si="21"/>
        <v>5149</v>
      </c>
      <c r="X115" s="385">
        <v>0</v>
      </c>
      <c r="Y115" s="385">
        <v>0</v>
      </c>
      <c r="Z115" s="385">
        <v>0</v>
      </c>
    </row>
    <row r="116" spans="1:26">
      <c r="A116" s="379">
        <v>109</v>
      </c>
      <c r="B116" s="388" t="s">
        <v>124</v>
      </c>
      <c r="C116" s="381">
        <v>6878</v>
      </c>
      <c r="D116" s="382">
        <f t="shared" si="11"/>
        <v>0.29853726290203569</v>
      </c>
      <c r="E116" s="383">
        <v>6716</v>
      </c>
      <c r="F116" s="382">
        <f t="shared" si="12"/>
        <v>0.29150570771300838</v>
      </c>
      <c r="G116" s="383">
        <v>7658</v>
      </c>
      <c r="H116" s="382">
        <f t="shared" si="13"/>
        <v>0.3323928989973523</v>
      </c>
      <c r="I116" s="383">
        <v>739</v>
      </c>
      <c r="J116" s="382">
        <f t="shared" si="14"/>
        <v>3.2076044967229482E-2</v>
      </c>
      <c r="K116" s="383">
        <v>103</v>
      </c>
      <c r="L116" s="382">
        <f t="shared" si="15"/>
        <v>4.4706801510482229E-3</v>
      </c>
      <c r="M116" s="383">
        <v>315</v>
      </c>
      <c r="N116" s="382">
        <f t="shared" si="16"/>
        <v>1.3672468423108642E-2</v>
      </c>
      <c r="O116" s="383">
        <v>72</v>
      </c>
      <c r="P116" s="382">
        <f t="shared" si="17"/>
        <v>3.1251356395676894E-3</v>
      </c>
      <c r="Q116" s="383">
        <v>75</v>
      </c>
      <c r="R116" s="382">
        <f t="shared" si="18"/>
        <v>3.2553496245496766E-3</v>
      </c>
      <c r="S116" s="383">
        <v>1</v>
      </c>
      <c r="T116" s="382">
        <f t="shared" si="19"/>
        <v>4.3404661660662356E-5</v>
      </c>
      <c r="U116" s="383">
        <v>482</v>
      </c>
      <c r="V116" s="382">
        <f t="shared" si="20"/>
        <v>2.0921046920439255E-2</v>
      </c>
      <c r="W116" s="384">
        <f t="shared" si="21"/>
        <v>23039</v>
      </c>
      <c r="X116" s="385">
        <v>0</v>
      </c>
      <c r="Y116" s="385">
        <v>0</v>
      </c>
      <c r="Z116" s="385">
        <v>0</v>
      </c>
    </row>
    <row r="117" spans="1:26" ht="15">
      <c r="A117" s="379">
        <v>110</v>
      </c>
      <c r="B117" s="388" t="s">
        <v>614</v>
      </c>
      <c r="C117" s="381">
        <f>18626-'[4]Cas anuladas TEEM'!E129</f>
        <v>18014</v>
      </c>
      <c r="D117" s="382">
        <f t="shared" si="11"/>
        <v>0.18261627671221767</v>
      </c>
      <c r="E117" s="383">
        <f>33802-'[4]Cas anuladas TEEM'!F129</f>
        <v>32894</v>
      </c>
      <c r="F117" s="382">
        <f t="shared" si="12"/>
        <v>0.33346174121081867</v>
      </c>
      <c r="G117" s="383">
        <f>39143-'[4]Cas anuladas TEEM'!G129</f>
        <v>37828</v>
      </c>
      <c r="H117" s="382">
        <f t="shared" si="13"/>
        <v>0.38347998864604033</v>
      </c>
      <c r="I117" s="383">
        <f>5535-'[4]Cas anuladas TEEM'!H129</f>
        <v>5292</v>
      </c>
      <c r="J117" s="382">
        <f t="shared" si="14"/>
        <v>5.3647459551518589E-2</v>
      </c>
      <c r="K117" s="383">
        <f>698-'[4]Cas anuladas TEEM'!I129</f>
        <v>686</v>
      </c>
      <c r="L117" s="382">
        <f t="shared" si="15"/>
        <v>6.9543003122338916E-3</v>
      </c>
      <c r="M117" s="383">
        <f>919-'[4]Cas anuladas TEEM'!J129</f>
        <v>877</v>
      </c>
      <c r="N117" s="382">
        <f t="shared" si="16"/>
        <v>8.8905559385264177E-3</v>
      </c>
      <c r="O117" s="383">
        <f>383-'[4]Cas anuladas TEEM'!K129</f>
        <v>371</v>
      </c>
      <c r="P117" s="382">
        <f t="shared" si="17"/>
        <v>3.760999148453023E-3</v>
      </c>
      <c r="Q117" s="383">
        <f>328-'[4]Cas anuladas TEEM'!L129</f>
        <v>319</v>
      </c>
      <c r="R117" s="382">
        <f t="shared" si="18"/>
        <v>3.2338510198288797E-3</v>
      </c>
      <c r="S117" s="383">
        <f>21-'[4]Cas anuladas TEEM'!M129</f>
        <v>21</v>
      </c>
      <c r="T117" s="382">
        <f t="shared" si="19"/>
        <v>2.128867442520579E-4</v>
      </c>
      <c r="U117" s="383">
        <f>2416-'[4]Cas anuladas TEEM'!N129</f>
        <v>2342</v>
      </c>
      <c r="V117" s="382">
        <f t="shared" si="20"/>
        <v>2.3741940716110459E-2</v>
      </c>
      <c r="W117" s="384">
        <f t="shared" si="21"/>
        <v>98644</v>
      </c>
      <c r="X117" s="385">
        <f>'[4]Cas anuladas TEEM'!O129</f>
        <v>3227</v>
      </c>
      <c r="Y117" s="385">
        <v>0</v>
      </c>
      <c r="Z117" s="385">
        <v>0</v>
      </c>
    </row>
    <row r="118" spans="1:26">
      <c r="A118" s="379">
        <v>111</v>
      </c>
      <c r="B118" s="388" t="s">
        <v>513</v>
      </c>
      <c r="C118" s="381">
        <v>8531</v>
      </c>
      <c r="D118" s="382">
        <f t="shared" si="11"/>
        <v>0.40057285063623982</v>
      </c>
      <c r="E118" s="383">
        <v>6018</v>
      </c>
      <c r="F118" s="382">
        <f t="shared" si="12"/>
        <v>0.28257501056486828</v>
      </c>
      <c r="G118" s="383">
        <v>4087</v>
      </c>
      <c r="H118" s="382">
        <f t="shared" si="13"/>
        <v>0.19190496314034841</v>
      </c>
      <c r="I118" s="383">
        <v>1451</v>
      </c>
      <c r="J118" s="382">
        <f t="shared" si="14"/>
        <v>6.8131661736394802E-2</v>
      </c>
      <c r="K118" s="383">
        <v>42</v>
      </c>
      <c r="L118" s="382">
        <f t="shared" si="15"/>
        <v>1.972108747710945E-3</v>
      </c>
      <c r="M118" s="383">
        <v>101</v>
      </c>
      <c r="N118" s="382">
        <f t="shared" si="16"/>
        <v>4.742451988542987E-3</v>
      </c>
      <c r="O118" s="383">
        <v>3</v>
      </c>
      <c r="P118" s="382">
        <f t="shared" si="17"/>
        <v>1.4086491055078181E-4</v>
      </c>
      <c r="Q118" s="383">
        <v>166</v>
      </c>
      <c r="R118" s="382">
        <f t="shared" si="18"/>
        <v>7.7945250504765926E-3</v>
      </c>
      <c r="S118" s="383">
        <v>1</v>
      </c>
      <c r="T118" s="382">
        <f t="shared" si="19"/>
        <v>4.6954970183593935E-5</v>
      </c>
      <c r="U118" s="383">
        <v>897</v>
      </c>
      <c r="V118" s="382">
        <f t="shared" si="20"/>
        <v>4.2118608254683755E-2</v>
      </c>
      <c r="W118" s="384">
        <f t="shared" si="21"/>
        <v>21297</v>
      </c>
      <c r="X118" s="385">
        <v>0</v>
      </c>
      <c r="Y118" s="385">
        <v>0</v>
      </c>
      <c r="Z118" s="385">
        <v>0</v>
      </c>
    </row>
    <row r="119" spans="1:26" ht="15.75">
      <c r="A119" s="379">
        <v>112</v>
      </c>
      <c r="B119" s="389" t="s">
        <v>615</v>
      </c>
      <c r="C119" s="381">
        <f>3518-'[4]Cas anuladas TEEM'!E132</f>
        <v>3517</v>
      </c>
      <c r="D119" s="382">
        <f t="shared" si="11"/>
        <v>0.26613696556942867</v>
      </c>
      <c r="E119" s="383">
        <f>3796-'[4]Cas anuladas TEEM'!F132</f>
        <v>3795</v>
      </c>
      <c r="F119" s="382">
        <f t="shared" si="12"/>
        <v>0.28717366628830876</v>
      </c>
      <c r="G119" s="383">
        <f>2696-'[4]Cas anuladas TEEM'!G132</f>
        <v>2707</v>
      </c>
      <c r="H119" s="382">
        <f t="shared" si="13"/>
        <v>0.20484298146046159</v>
      </c>
      <c r="I119" s="383">
        <f>2412-'[4]Cas anuladas TEEM'!H132</f>
        <v>2396</v>
      </c>
      <c r="J119" s="382">
        <f t="shared" si="14"/>
        <v>0.18130911842603104</v>
      </c>
      <c r="K119" s="383">
        <f>0-'[4]Cas anuladas TEEM'!I132</f>
        <v>0</v>
      </c>
      <c r="L119" s="382">
        <f t="shared" si="15"/>
        <v>0</v>
      </c>
      <c r="M119" s="383">
        <f>2-'[4]Cas anuladas TEEM'!J132</f>
        <v>4</v>
      </c>
      <c r="N119" s="382">
        <f t="shared" si="16"/>
        <v>3.0268634127884978E-4</v>
      </c>
      <c r="O119" s="383">
        <f>48-'[4]Cas anuladas TEEM'!K132</f>
        <v>49</v>
      </c>
      <c r="P119" s="382">
        <f t="shared" si="17"/>
        <v>3.7079076806659098E-3</v>
      </c>
      <c r="Q119" s="383">
        <f>0-'[4]Cas anuladas TEEM'!L132</f>
        <v>0</v>
      </c>
      <c r="R119" s="382">
        <f t="shared" si="18"/>
        <v>0</v>
      </c>
      <c r="S119" s="383">
        <f>13-'[4]Cas anuladas TEEM'!M132</f>
        <v>13</v>
      </c>
      <c r="T119" s="382">
        <f t="shared" si="19"/>
        <v>9.8373060915626183E-4</v>
      </c>
      <c r="U119" s="383">
        <f>734-'[4]Cas anuladas TEEM'!N132</f>
        <v>734</v>
      </c>
      <c r="V119" s="382">
        <f t="shared" si="20"/>
        <v>5.5542943624668939E-2</v>
      </c>
      <c r="W119" s="384">
        <f t="shared" si="21"/>
        <v>13215</v>
      </c>
      <c r="X119" s="385">
        <f>'[4]Cas anuladas TEEM'!O132</f>
        <v>4</v>
      </c>
      <c r="Y119" s="385">
        <v>0</v>
      </c>
      <c r="Z119" s="385">
        <v>0</v>
      </c>
    </row>
    <row r="120" spans="1:26">
      <c r="A120" s="379">
        <v>113</v>
      </c>
      <c r="B120" s="388" t="s">
        <v>616</v>
      </c>
      <c r="C120" s="381">
        <v>4444</v>
      </c>
      <c r="D120" s="382">
        <f t="shared" si="11"/>
        <v>0.31704358992651782</v>
      </c>
      <c r="E120" s="383">
        <v>4275</v>
      </c>
      <c r="F120" s="382">
        <f t="shared" si="12"/>
        <v>0.30498680174074339</v>
      </c>
      <c r="G120" s="383">
        <v>1078</v>
      </c>
      <c r="H120" s="382">
        <f t="shared" si="13"/>
        <v>7.6906613398016688E-2</v>
      </c>
      <c r="I120" s="383">
        <v>3467</v>
      </c>
      <c r="J120" s="382">
        <f t="shared" si="14"/>
        <v>0.24734251266319468</v>
      </c>
      <c r="K120" s="383">
        <v>67</v>
      </c>
      <c r="L120" s="382">
        <f t="shared" si="15"/>
        <v>4.7799101091531709E-3</v>
      </c>
      <c r="M120" s="383">
        <v>35</v>
      </c>
      <c r="N120" s="382">
        <f t="shared" si="16"/>
        <v>2.4969679674680745E-3</v>
      </c>
      <c r="O120" s="383">
        <v>60</v>
      </c>
      <c r="P120" s="382">
        <f t="shared" si="17"/>
        <v>4.2805165156595566E-3</v>
      </c>
      <c r="Q120" s="383">
        <v>0</v>
      </c>
      <c r="R120" s="382">
        <f t="shared" si="18"/>
        <v>0</v>
      </c>
      <c r="S120" s="383">
        <v>0</v>
      </c>
      <c r="T120" s="382">
        <f t="shared" si="19"/>
        <v>0</v>
      </c>
      <c r="U120" s="383">
        <v>591</v>
      </c>
      <c r="V120" s="382">
        <f t="shared" si="20"/>
        <v>4.2163087679246626E-2</v>
      </c>
      <c r="W120" s="384">
        <f t="shared" si="21"/>
        <v>14017</v>
      </c>
      <c r="X120" s="385">
        <v>0</v>
      </c>
      <c r="Y120" s="385">
        <v>0</v>
      </c>
      <c r="Z120" s="385">
        <v>0</v>
      </c>
    </row>
    <row r="121" spans="1:26">
      <c r="A121" s="379">
        <v>114</v>
      </c>
      <c r="B121" s="388" t="s">
        <v>129</v>
      </c>
      <c r="C121" s="381">
        <v>1462</v>
      </c>
      <c r="D121" s="382">
        <f t="shared" si="11"/>
        <v>9.9774790145362724E-2</v>
      </c>
      <c r="E121" s="383">
        <v>4550</v>
      </c>
      <c r="F121" s="382">
        <f t="shared" si="12"/>
        <v>0.31051661775745582</v>
      </c>
      <c r="G121" s="383">
        <v>5552</v>
      </c>
      <c r="H121" s="382">
        <f t="shared" si="13"/>
        <v>0.37889851907459221</v>
      </c>
      <c r="I121" s="383">
        <v>1661</v>
      </c>
      <c r="J121" s="382">
        <f t="shared" si="14"/>
        <v>0.1133556268340954</v>
      </c>
      <c r="K121" s="383">
        <v>30</v>
      </c>
      <c r="L121" s="382">
        <f t="shared" si="15"/>
        <v>2.047362314884324E-3</v>
      </c>
      <c r="M121" s="383">
        <v>74</v>
      </c>
      <c r="N121" s="382">
        <f t="shared" si="16"/>
        <v>5.0501603767146661E-3</v>
      </c>
      <c r="O121" s="383">
        <v>0</v>
      </c>
      <c r="P121" s="382">
        <f t="shared" si="17"/>
        <v>0</v>
      </c>
      <c r="Q121" s="383">
        <v>748</v>
      </c>
      <c r="R121" s="382">
        <f t="shared" si="18"/>
        <v>5.1047567051115815E-2</v>
      </c>
      <c r="S121" s="383">
        <v>4</v>
      </c>
      <c r="T121" s="382">
        <f t="shared" si="19"/>
        <v>2.7298164198457655E-4</v>
      </c>
      <c r="U121" s="383">
        <v>572</v>
      </c>
      <c r="V121" s="382">
        <f t="shared" si="20"/>
        <v>3.9036374803794446E-2</v>
      </c>
      <c r="W121" s="384">
        <f t="shared" si="21"/>
        <v>14653</v>
      </c>
      <c r="X121" s="385">
        <v>0</v>
      </c>
      <c r="Y121" s="385">
        <v>0</v>
      </c>
      <c r="Z121" s="385">
        <v>0</v>
      </c>
    </row>
    <row r="122" spans="1:26">
      <c r="A122" s="379">
        <v>115</v>
      </c>
      <c r="B122" s="388" t="s">
        <v>130</v>
      </c>
      <c r="C122" s="381">
        <v>2659</v>
      </c>
      <c r="D122" s="382">
        <f t="shared" si="11"/>
        <v>0.13149695860738836</v>
      </c>
      <c r="E122" s="383">
        <v>12257</v>
      </c>
      <c r="F122" s="382">
        <f t="shared" si="12"/>
        <v>0.60615202017704362</v>
      </c>
      <c r="G122" s="383">
        <v>3661</v>
      </c>
      <c r="H122" s="382">
        <f t="shared" si="13"/>
        <v>0.18104940408486228</v>
      </c>
      <c r="I122" s="383">
        <v>566</v>
      </c>
      <c r="J122" s="382">
        <f t="shared" si="14"/>
        <v>2.7990702734780673E-2</v>
      </c>
      <c r="K122" s="383">
        <v>30</v>
      </c>
      <c r="L122" s="382">
        <f t="shared" si="15"/>
        <v>1.483606152020177E-3</v>
      </c>
      <c r="M122" s="383">
        <v>59</v>
      </c>
      <c r="N122" s="382">
        <f t="shared" si="16"/>
        <v>2.9177587656396813E-3</v>
      </c>
      <c r="O122" s="383">
        <v>57</v>
      </c>
      <c r="P122" s="382">
        <f t="shared" si="17"/>
        <v>2.8188516888383365E-3</v>
      </c>
      <c r="Q122" s="383">
        <v>26</v>
      </c>
      <c r="R122" s="382">
        <f t="shared" si="18"/>
        <v>1.2857919984174868E-3</v>
      </c>
      <c r="S122" s="383">
        <v>17</v>
      </c>
      <c r="T122" s="382">
        <f t="shared" si="19"/>
        <v>8.4071015281143369E-4</v>
      </c>
      <c r="U122" s="383">
        <v>889</v>
      </c>
      <c r="V122" s="382">
        <f t="shared" si="20"/>
        <v>4.3964195638197916E-2</v>
      </c>
      <c r="W122" s="384">
        <f t="shared" si="21"/>
        <v>20221</v>
      </c>
      <c r="X122" s="385">
        <v>0</v>
      </c>
      <c r="Y122" s="385">
        <v>0</v>
      </c>
      <c r="Z122" s="385">
        <v>0</v>
      </c>
    </row>
    <row r="123" spans="1:26">
      <c r="A123" s="379">
        <v>116</v>
      </c>
      <c r="B123" s="388" t="s">
        <v>617</v>
      </c>
      <c r="C123" s="381">
        <v>2475</v>
      </c>
      <c r="D123" s="382">
        <f t="shared" si="11"/>
        <v>0.16879219804951237</v>
      </c>
      <c r="E123" s="383">
        <v>3509</v>
      </c>
      <c r="F123" s="382">
        <f t="shared" si="12"/>
        <v>0.23930982745686422</v>
      </c>
      <c r="G123" s="383">
        <v>4434</v>
      </c>
      <c r="H123" s="382">
        <f t="shared" si="13"/>
        <v>0.30239378026324765</v>
      </c>
      <c r="I123" s="383">
        <v>3363</v>
      </c>
      <c r="J123" s="382">
        <f t="shared" si="14"/>
        <v>0.22935279274364045</v>
      </c>
      <c r="K123" s="383">
        <v>0</v>
      </c>
      <c r="L123" s="382">
        <f t="shared" si="15"/>
        <v>0</v>
      </c>
      <c r="M123" s="383">
        <v>21</v>
      </c>
      <c r="N123" s="382">
        <f t="shared" si="16"/>
        <v>1.4321762258746504E-3</v>
      </c>
      <c r="O123" s="383">
        <v>39</v>
      </c>
      <c r="P123" s="382">
        <f t="shared" si="17"/>
        <v>2.6597558480529223E-3</v>
      </c>
      <c r="Q123" s="383">
        <v>472</v>
      </c>
      <c r="R123" s="382">
        <f t="shared" si="18"/>
        <v>3.2189865648230238E-2</v>
      </c>
      <c r="S123" s="383">
        <v>4</v>
      </c>
      <c r="T123" s="382">
        <f t="shared" si="19"/>
        <v>2.7279547159517154E-4</v>
      </c>
      <c r="U123" s="383">
        <v>346</v>
      </c>
      <c r="V123" s="382">
        <f t="shared" si="20"/>
        <v>2.3596808292982337E-2</v>
      </c>
      <c r="W123" s="384">
        <f t="shared" si="21"/>
        <v>14663</v>
      </c>
      <c r="X123" s="385">
        <v>0</v>
      </c>
      <c r="Y123" s="385">
        <v>0</v>
      </c>
      <c r="Z123" s="385">
        <v>0</v>
      </c>
    </row>
    <row r="124" spans="1:26">
      <c r="A124" s="379">
        <v>117</v>
      </c>
      <c r="B124" s="388" t="s">
        <v>133</v>
      </c>
      <c r="C124" s="381">
        <v>787</v>
      </c>
      <c r="D124" s="382">
        <f t="shared" si="11"/>
        <v>0.46430678466076697</v>
      </c>
      <c r="E124" s="383">
        <v>570</v>
      </c>
      <c r="F124" s="382">
        <f t="shared" si="12"/>
        <v>0.33628318584070799</v>
      </c>
      <c r="G124" s="383">
        <v>287</v>
      </c>
      <c r="H124" s="382">
        <f t="shared" si="13"/>
        <v>0.16932153392330385</v>
      </c>
      <c r="I124" s="383">
        <v>13</v>
      </c>
      <c r="J124" s="382">
        <f t="shared" si="14"/>
        <v>7.6696165191740412E-3</v>
      </c>
      <c r="K124" s="383">
        <v>0</v>
      </c>
      <c r="L124" s="382">
        <f t="shared" si="15"/>
        <v>0</v>
      </c>
      <c r="M124" s="383">
        <v>5</v>
      </c>
      <c r="N124" s="382">
        <f t="shared" si="16"/>
        <v>2.9498525073746312E-3</v>
      </c>
      <c r="O124" s="383">
        <v>0</v>
      </c>
      <c r="P124" s="382">
        <f t="shared" si="17"/>
        <v>0</v>
      </c>
      <c r="Q124" s="383">
        <v>0</v>
      </c>
      <c r="R124" s="382">
        <f t="shared" si="18"/>
        <v>0</v>
      </c>
      <c r="S124" s="383">
        <v>0</v>
      </c>
      <c r="T124" s="382">
        <f t="shared" si="19"/>
        <v>0</v>
      </c>
      <c r="U124" s="383">
        <v>33</v>
      </c>
      <c r="V124" s="382">
        <f t="shared" si="20"/>
        <v>1.9469026548672566E-2</v>
      </c>
      <c r="W124" s="384">
        <f t="shared" si="21"/>
        <v>1695</v>
      </c>
      <c r="X124" s="385">
        <v>0</v>
      </c>
      <c r="Y124" s="385">
        <v>0</v>
      </c>
      <c r="Z124" s="385">
        <v>0</v>
      </c>
    </row>
    <row r="125" spans="1:26" ht="15.75">
      <c r="A125" s="379">
        <v>118</v>
      </c>
      <c r="B125" s="389" t="s">
        <v>618</v>
      </c>
      <c r="C125" s="381">
        <f>1086-'[4]Cas anuladas TEEM'!E136+'[4]Cas anuladas TEPJF'!E95</f>
        <v>1018</v>
      </c>
      <c r="D125" s="382">
        <f t="shared" si="11"/>
        <v>0.20762798286763207</v>
      </c>
      <c r="E125" s="383">
        <f>1235-'[4]Cas anuladas TEEM'!F136+'[4]Cas anuladas TEPJF'!F95</f>
        <v>1076</v>
      </c>
      <c r="F125" s="382">
        <f t="shared" si="12"/>
        <v>0.21945747501529675</v>
      </c>
      <c r="G125" s="383">
        <f>852-'[4]Cas anuladas TEEM'!G136+'[4]Cas anuladas TEPJF'!G95</f>
        <v>771</v>
      </c>
      <c r="H125" s="382">
        <f t="shared" si="13"/>
        <v>0.15725066285947378</v>
      </c>
      <c r="I125" s="383">
        <f>102-'[4]Cas anuladas TEEM'!H136+'[4]Cas anuladas TEPJF'!H95</f>
        <v>78</v>
      </c>
      <c r="J125" s="382">
        <f t="shared" si="14"/>
        <v>1.5908627370997349E-2</v>
      </c>
      <c r="K125" s="383">
        <f>27-'[4]Cas anuladas TEEM'!I136+'[4]Cas anuladas TEPJF'!I95</f>
        <v>27</v>
      </c>
      <c r="L125" s="382">
        <f t="shared" si="15"/>
        <v>5.5068325514990822E-3</v>
      </c>
      <c r="M125" s="383">
        <f>22-'[4]Cas anuladas TEEM'!J136+'[4]Cas anuladas TEPJF'!J95</f>
        <v>18</v>
      </c>
      <c r="N125" s="382">
        <f t="shared" si="16"/>
        <v>3.671221700999388E-3</v>
      </c>
      <c r="O125" s="383">
        <f>740-'[4]Cas anuladas TEEM'!K136+'[4]Cas anuladas TEPJF'!K95</f>
        <v>710</v>
      </c>
      <c r="P125" s="382">
        <f t="shared" si="17"/>
        <v>0.1448093004283092</v>
      </c>
      <c r="Q125" s="383">
        <f>1112-'[4]Cas anuladas TEEM'!L136+'[4]Cas anuladas TEPJF'!L95</f>
        <v>1005</v>
      </c>
      <c r="R125" s="382">
        <f t="shared" si="18"/>
        <v>0.20497654497246584</v>
      </c>
      <c r="S125" s="383">
        <f>2-'[4]Cas anuladas TEEM'!M136+'[4]Cas anuladas TEPJF'!M95</f>
        <v>2</v>
      </c>
      <c r="T125" s="382">
        <f t="shared" si="19"/>
        <v>4.0791352233326533E-4</v>
      </c>
      <c r="U125" s="383">
        <f>228-'[4]Cas anuladas TEEM'!N136+'[4]Cas anuladas TEPJF'!N95</f>
        <v>198</v>
      </c>
      <c r="V125" s="382">
        <f t="shared" si="20"/>
        <v>4.0383438710993272E-2</v>
      </c>
      <c r="W125" s="384">
        <f t="shared" si="21"/>
        <v>4903</v>
      </c>
      <c r="X125" s="385">
        <f>'[4]Cas anuladas TEEM'!O136</f>
        <v>609</v>
      </c>
      <c r="Y125" s="385">
        <f>SUM('[4]Cas anuladas TEPJF'!O91:O92)</f>
        <v>358</v>
      </c>
      <c r="Z125" s="385">
        <f>SUM('[4]Cas anuladas TEPJF'!O93:O94)</f>
        <v>252</v>
      </c>
    </row>
    <row r="126" spans="1:26" ht="15">
      <c r="A126" s="379">
        <v>119</v>
      </c>
      <c r="B126" s="388" t="s">
        <v>619</v>
      </c>
      <c r="C126" s="381">
        <f>7115-'[4]Cas anuladas TEEM'!E142</f>
        <v>6785</v>
      </c>
      <c r="D126" s="382">
        <f t="shared" si="11"/>
        <v>0.20960118624694943</v>
      </c>
      <c r="E126" s="383">
        <f>11821-'[4]Cas anuladas TEEM'!F142</f>
        <v>11262</v>
      </c>
      <c r="F126" s="382">
        <f t="shared" si="12"/>
        <v>0.34790398813753048</v>
      </c>
      <c r="G126" s="383">
        <f>2107-'[4]Cas anuladas TEEM'!G142</f>
        <v>2024</v>
      </c>
      <c r="H126" s="382">
        <f t="shared" si="13"/>
        <v>6.2525099626208641E-2</v>
      </c>
      <c r="I126" s="383">
        <f>10275-'[4]Cas anuladas TEEM'!H142</f>
        <v>9768</v>
      </c>
      <c r="J126" s="382">
        <f t="shared" si="14"/>
        <v>0.30175156776126782</v>
      </c>
      <c r="K126" s="383">
        <f>700-'[4]Cas anuladas TEEM'!I142</f>
        <v>676</v>
      </c>
      <c r="L126" s="382">
        <f t="shared" si="15"/>
        <v>2.0882889005591425E-2</v>
      </c>
      <c r="M126" s="383">
        <f>5-'[4]Cas anuladas TEEM'!J142</f>
        <v>5</v>
      </c>
      <c r="N126" s="382">
        <f t="shared" si="16"/>
        <v>1.5445923820703715E-4</v>
      </c>
      <c r="O126" s="383">
        <f>343-'[4]Cas anuladas TEEM'!K142</f>
        <v>323</v>
      </c>
      <c r="P126" s="382">
        <f t="shared" si="17"/>
        <v>9.978066788174601E-3</v>
      </c>
      <c r="Q126" s="383">
        <f>418-'[4]Cas anuladas TEEM'!L142</f>
        <v>400</v>
      </c>
      <c r="R126" s="382">
        <f t="shared" si="18"/>
        <v>1.2356739056562973E-2</v>
      </c>
      <c r="S126" s="383">
        <f>2-'[4]Cas anuladas TEEM'!M142</f>
        <v>2</v>
      </c>
      <c r="T126" s="382">
        <f t="shared" si="19"/>
        <v>6.1783695282814871E-5</v>
      </c>
      <c r="U126" s="383">
        <f>1174-'[4]Cas anuladas TEEM'!N142</f>
        <v>1126</v>
      </c>
      <c r="V126" s="382">
        <f t="shared" si="20"/>
        <v>3.4784220444224766E-2</v>
      </c>
      <c r="W126" s="384">
        <f t="shared" si="21"/>
        <v>32371</v>
      </c>
      <c r="X126" s="385">
        <f>'[4]Cas anuladas TEEM'!O142</f>
        <v>1589</v>
      </c>
      <c r="Y126" s="385">
        <v>0</v>
      </c>
      <c r="Z126" s="385">
        <v>0</v>
      </c>
    </row>
    <row r="127" spans="1:26">
      <c r="A127" s="379">
        <v>120</v>
      </c>
      <c r="B127" s="388" t="s">
        <v>620</v>
      </c>
      <c r="C127" s="381">
        <v>1312</v>
      </c>
      <c r="D127" s="382">
        <f t="shared" si="11"/>
        <v>0.2624524904980996</v>
      </c>
      <c r="E127" s="383">
        <v>1932</v>
      </c>
      <c r="F127" s="382">
        <f t="shared" si="12"/>
        <v>0.38647729545909182</v>
      </c>
      <c r="G127" s="383">
        <v>1308</v>
      </c>
      <c r="H127" s="382">
        <f t="shared" si="13"/>
        <v>0.26165233046609321</v>
      </c>
      <c r="I127" s="383">
        <v>36</v>
      </c>
      <c r="J127" s="382">
        <f t="shared" si="14"/>
        <v>7.2014402880576115E-3</v>
      </c>
      <c r="K127" s="383">
        <v>0</v>
      </c>
      <c r="L127" s="382">
        <f t="shared" si="15"/>
        <v>0</v>
      </c>
      <c r="M127" s="383">
        <v>12</v>
      </c>
      <c r="N127" s="382">
        <f t="shared" si="16"/>
        <v>2.4004800960192038E-3</v>
      </c>
      <c r="O127" s="383">
        <v>146</v>
      </c>
      <c r="P127" s="382">
        <f t="shared" si="17"/>
        <v>2.9205841168233646E-2</v>
      </c>
      <c r="Q127" s="383">
        <v>0</v>
      </c>
      <c r="R127" s="382">
        <f t="shared" si="18"/>
        <v>0</v>
      </c>
      <c r="S127" s="383">
        <v>0</v>
      </c>
      <c r="T127" s="382">
        <f t="shared" si="19"/>
        <v>0</v>
      </c>
      <c r="U127" s="383">
        <v>253</v>
      </c>
      <c r="V127" s="382">
        <f t="shared" si="20"/>
        <v>5.0610122024404881E-2</v>
      </c>
      <c r="W127" s="384">
        <f t="shared" si="21"/>
        <v>4999</v>
      </c>
      <c r="X127" s="385">
        <v>0</v>
      </c>
      <c r="Y127" s="385">
        <v>0</v>
      </c>
      <c r="Z127" s="385">
        <v>0</v>
      </c>
    </row>
    <row r="128" spans="1:26">
      <c r="A128" s="379">
        <v>121</v>
      </c>
      <c r="B128" s="388" t="s">
        <v>136</v>
      </c>
      <c r="C128" s="381">
        <v>6051</v>
      </c>
      <c r="D128" s="382">
        <f t="shared" si="11"/>
        <v>0.22152663371773751</v>
      </c>
      <c r="E128" s="383">
        <v>15139</v>
      </c>
      <c r="F128" s="382">
        <f t="shared" si="12"/>
        <v>0.55423759838916342</v>
      </c>
      <c r="G128" s="383">
        <v>4684</v>
      </c>
      <c r="H128" s="382">
        <f t="shared" si="13"/>
        <v>0.17148087131612666</v>
      </c>
      <c r="I128" s="383">
        <v>377</v>
      </c>
      <c r="J128" s="382">
        <f t="shared" si="14"/>
        <v>1.3801940325828299E-2</v>
      </c>
      <c r="K128" s="383">
        <v>0</v>
      </c>
      <c r="L128" s="382">
        <f t="shared" si="15"/>
        <v>0</v>
      </c>
      <c r="M128" s="383">
        <v>0</v>
      </c>
      <c r="N128" s="382">
        <f t="shared" si="16"/>
        <v>0</v>
      </c>
      <c r="O128" s="383">
        <v>163</v>
      </c>
      <c r="P128" s="382">
        <f t="shared" si="17"/>
        <v>5.9674171700530845E-3</v>
      </c>
      <c r="Q128" s="383">
        <v>253</v>
      </c>
      <c r="R128" s="382">
        <f t="shared" si="18"/>
        <v>9.2623100860333152E-3</v>
      </c>
      <c r="S128" s="383">
        <v>2</v>
      </c>
      <c r="T128" s="382">
        <f t="shared" si="19"/>
        <v>7.3219842577338458E-5</v>
      </c>
      <c r="U128" s="383">
        <v>646</v>
      </c>
      <c r="V128" s="382">
        <f t="shared" si="20"/>
        <v>2.3650009152480323E-2</v>
      </c>
      <c r="W128" s="384">
        <f t="shared" si="21"/>
        <v>27315</v>
      </c>
      <c r="X128" s="385">
        <v>0</v>
      </c>
      <c r="Y128" s="385">
        <v>0</v>
      </c>
      <c r="Z128" s="385">
        <v>0</v>
      </c>
    </row>
    <row r="129" spans="1:26">
      <c r="A129" s="379">
        <v>122</v>
      </c>
      <c r="B129" s="388" t="s">
        <v>137</v>
      </c>
      <c r="C129" s="381">
        <v>8374</v>
      </c>
      <c r="D129" s="382">
        <f t="shared" si="11"/>
        <v>0.11303843090671022</v>
      </c>
      <c r="E129" s="383">
        <v>20276</v>
      </c>
      <c r="F129" s="382">
        <f t="shared" si="12"/>
        <v>0.27370040901175741</v>
      </c>
      <c r="G129" s="383">
        <v>38243</v>
      </c>
      <c r="H129" s="382">
        <f t="shared" si="13"/>
        <v>0.51623223228628123</v>
      </c>
      <c r="I129" s="383">
        <v>1721</v>
      </c>
      <c r="J129" s="382">
        <f t="shared" si="14"/>
        <v>2.3231327870844077E-2</v>
      </c>
      <c r="K129" s="383">
        <v>1454</v>
      </c>
      <c r="L129" s="382">
        <f t="shared" si="15"/>
        <v>1.9627164860085582E-2</v>
      </c>
      <c r="M129" s="383">
        <v>413</v>
      </c>
      <c r="N129" s="382">
        <f t="shared" si="16"/>
        <v>5.5749787394878576E-3</v>
      </c>
      <c r="O129" s="383">
        <v>230</v>
      </c>
      <c r="P129" s="382">
        <f t="shared" si="17"/>
        <v>3.1047097096421486E-3</v>
      </c>
      <c r="Q129" s="383">
        <v>203</v>
      </c>
      <c r="R129" s="382">
        <f t="shared" si="18"/>
        <v>2.7402437872058962E-3</v>
      </c>
      <c r="S129" s="383">
        <v>36</v>
      </c>
      <c r="T129" s="382">
        <f t="shared" si="19"/>
        <v>4.8595456324833629E-4</v>
      </c>
      <c r="U129" s="383">
        <v>3131</v>
      </c>
      <c r="V129" s="382">
        <f t="shared" si="20"/>
        <v>4.2264548264737245E-2</v>
      </c>
      <c r="W129" s="384">
        <f t="shared" si="21"/>
        <v>74081</v>
      </c>
      <c r="X129" s="385">
        <v>0</v>
      </c>
      <c r="Y129" s="385">
        <v>0</v>
      </c>
      <c r="Z129" s="385">
        <v>0</v>
      </c>
    </row>
    <row r="130" spans="1:26" ht="15">
      <c r="A130" s="379">
        <v>123</v>
      </c>
      <c r="B130" s="388" t="s">
        <v>621</v>
      </c>
      <c r="C130" s="381">
        <f>557-'[4]Cas anuladas TEEM'!E150+'[4]Cas anuladas TEPJF'!E102</f>
        <v>545</v>
      </c>
      <c r="D130" s="382">
        <f t="shared" si="11"/>
        <v>6.903977704585762E-2</v>
      </c>
      <c r="E130" s="383">
        <f>3308-'[4]Cas anuladas TEEM'!F150+'[4]Cas anuladas TEPJF'!F102</f>
        <v>3188</v>
      </c>
      <c r="F130" s="382">
        <f t="shared" si="12"/>
        <v>0.40385102609576895</v>
      </c>
      <c r="G130" s="383">
        <f>3766-'[4]Cas anuladas TEEM'!G150+'[4]Cas anuladas TEPJF'!G102</f>
        <v>3607</v>
      </c>
      <c r="H130" s="382">
        <f t="shared" si="13"/>
        <v>0.45692931340258425</v>
      </c>
      <c r="I130" s="383">
        <f>111-'[4]Cas anuladas TEEM'!H150+'[4]Cas anuladas TEPJF'!H102</f>
        <v>110</v>
      </c>
      <c r="J130" s="382">
        <f t="shared" si="14"/>
        <v>1.3934633899163922E-2</v>
      </c>
      <c r="K130" s="383">
        <f>169-'[4]Cas anuladas TEEM'!I150+'[4]Cas anuladas TEPJF'!I102</f>
        <v>166</v>
      </c>
      <c r="L130" s="382">
        <f t="shared" si="15"/>
        <v>2.1028629338738281E-2</v>
      </c>
      <c r="M130" s="383">
        <f>0-'[4]Cas anuladas TEEM'!J150+'[4]Cas anuladas TEPJF'!J102</f>
        <v>0</v>
      </c>
      <c r="N130" s="382">
        <f t="shared" si="16"/>
        <v>0</v>
      </c>
      <c r="O130" s="383">
        <f>0-'[4]Cas anuladas TEEM'!K150+'[4]Cas anuladas TEPJF'!K102</f>
        <v>0</v>
      </c>
      <c r="P130" s="382">
        <f t="shared" si="17"/>
        <v>0</v>
      </c>
      <c r="Q130" s="383">
        <f>55-'[4]Cas anuladas TEEM'!L150+'[4]Cas anuladas TEPJF'!L102</f>
        <v>49</v>
      </c>
      <c r="R130" s="382">
        <f t="shared" si="18"/>
        <v>6.2072460096275648E-3</v>
      </c>
      <c r="S130" s="383">
        <f>3-'[4]Cas anuladas TEEM'!M150+'[4]Cas anuladas TEPJF'!M102</f>
        <v>3</v>
      </c>
      <c r="T130" s="382">
        <f t="shared" si="19"/>
        <v>3.8003546997719787E-4</v>
      </c>
      <c r="U130" s="383">
        <f>242-'[4]Cas anuladas TEEM'!N150+'[4]Cas anuladas TEPJF'!N102</f>
        <v>226</v>
      </c>
      <c r="V130" s="382">
        <f t="shared" si="20"/>
        <v>2.8629338738282238E-2</v>
      </c>
      <c r="W130" s="384">
        <f t="shared" si="21"/>
        <v>7894</v>
      </c>
      <c r="X130" s="385">
        <f>'[4]Cas anuladas TEEM'!O150</f>
        <v>1069</v>
      </c>
      <c r="Y130" s="385">
        <f>'[4]Cas anuladas TEPJF'!O102</f>
        <v>752</v>
      </c>
      <c r="Z130" s="385">
        <v>0</v>
      </c>
    </row>
    <row r="131" spans="1:26">
      <c r="A131" s="379">
        <v>124</v>
      </c>
      <c r="B131" s="390" t="s">
        <v>139</v>
      </c>
      <c r="C131" s="391">
        <v>3099</v>
      </c>
      <c r="D131" s="392">
        <f t="shared" si="11"/>
        <v>0.23015224656516894</v>
      </c>
      <c r="E131" s="393">
        <v>5238</v>
      </c>
      <c r="F131" s="392">
        <f t="shared" si="12"/>
        <v>0.3890085406609729</v>
      </c>
      <c r="G131" s="393">
        <v>1226</v>
      </c>
      <c r="H131" s="392">
        <f t="shared" si="13"/>
        <v>9.1050872632751578E-2</v>
      </c>
      <c r="I131" s="393">
        <v>398</v>
      </c>
      <c r="J131" s="392">
        <f t="shared" si="14"/>
        <v>2.9558113627924248E-2</v>
      </c>
      <c r="K131" s="393">
        <v>21</v>
      </c>
      <c r="L131" s="392">
        <f t="shared" si="15"/>
        <v>1.5595989602673599E-3</v>
      </c>
      <c r="M131" s="393">
        <v>1950</v>
      </c>
      <c r="N131" s="392">
        <f t="shared" si="16"/>
        <v>0.14481990345339771</v>
      </c>
      <c r="O131" s="393">
        <v>0</v>
      </c>
      <c r="P131" s="392">
        <f t="shared" si="17"/>
        <v>0</v>
      </c>
      <c r="Q131" s="393">
        <v>409</v>
      </c>
      <c r="R131" s="392">
        <f t="shared" si="18"/>
        <v>3.0375046416635722E-2</v>
      </c>
      <c r="S131" s="393">
        <v>4</v>
      </c>
      <c r="T131" s="392">
        <f t="shared" si="19"/>
        <v>2.9706646862235426E-4</v>
      </c>
      <c r="U131" s="393">
        <v>1120</v>
      </c>
      <c r="V131" s="392">
        <f>U131/$W131</f>
        <v>8.3178611214259193E-2</v>
      </c>
      <c r="W131" s="394">
        <f t="shared" si="21"/>
        <v>13465</v>
      </c>
      <c r="X131" s="395">
        <v>0</v>
      </c>
      <c r="Y131" s="395">
        <v>0</v>
      </c>
      <c r="Z131" s="395">
        <v>0</v>
      </c>
    </row>
    <row r="133" spans="1:26" ht="13.5">
      <c r="B133" s="174" t="s">
        <v>141</v>
      </c>
    </row>
    <row r="134" spans="1:26" ht="13.5">
      <c r="B134" s="174" t="s">
        <v>622</v>
      </c>
    </row>
    <row r="135" spans="1:26" ht="13.5">
      <c r="B135" s="174" t="s">
        <v>623</v>
      </c>
    </row>
    <row r="136" spans="1:26" ht="13.5">
      <c r="B136" s="174" t="s">
        <v>624</v>
      </c>
    </row>
    <row r="137" spans="1:26" ht="13.5">
      <c r="B137" s="174" t="s">
        <v>625</v>
      </c>
    </row>
    <row r="138" spans="1:26" ht="13.5">
      <c r="B138" s="174" t="s">
        <v>626</v>
      </c>
    </row>
    <row r="139" spans="1:26" ht="13.5">
      <c r="B139" s="174" t="s">
        <v>627</v>
      </c>
    </row>
    <row r="140" spans="1:26" ht="13.5">
      <c r="B140" s="174" t="s">
        <v>628</v>
      </c>
    </row>
    <row r="141" spans="1:26" ht="13.5">
      <c r="B141" s="174" t="s">
        <v>629</v>
      </c>
    </row>
    <row r="142" spans="1:26" ht="13.5">
      <c r="B142" s="174" t="s">
        <v>630</v>
      </c>
    </row>
    <row r="143" spans="1:26" ht="13.5">
      <c r="B143" s="174" t="s">
        <v>631</v>
      </c>
    </row>
    <row r="144" spans="1:26" ht="13.5">
      <c r="B144" s="174" t="s">
        <v>632</v>
      </c>
    </row>
    <row r="145" spans="2:2" ht="13.5">
      <c r="B145" s="174" t="s">
        <v>633</v>
      </c>
    </row>
    <row r="146" spans="2:2" ht="13.5">
      <c r="B146" s="174" t="s">
        <v>634</v>
      </c>
    </row>
    <row r="147" spans="2:2" ht="13.5">
      <c r="B147" s="174" t="s">
        <v>635</v>
      </c>
    </row>
    <row r="148" spans="2:2" ht="13.5">
      <c r="B148" s="174" t="s">
        <v>636</v>
      </c>
    </row>
    <row r="149" spans="2:2" ht="13.5">
      <c r="B149" s="174" t="s">
        <v>637</v>
      </c>
    </row>
    <row r="150" spans="2:2" ht="13.5">
      <c r="B150" s="174" t="s">
        <v>638</v>
      </c>
    </row>
    <row r="151" spans="2:2" ht="13.5">
      <c r="B151" s="174" t="s">
        <v>639</v>
      </c>
    </row>
    <row r="152" spans="2:2" ht="13.5">
      <c r="B152" s="174" t="s">
        <v>640</v>
      </c>
    </row>
    <row r="153" spans="2:2" ht="13.5">
      <c r="B153" s="174" t="s">
        <v>641</v>
      </c>
    </row>
    <row r="154" spans="2:2" ht="13.5">
      <c r="B154" s="174" t="s">
        <v>642</v>
      </c>
    </row>
    <row r="155" spans="2:2" ht="13.5">
      <c r="B155" s="174" t="s">
        <v>643</v>
      </c>
    </row>
    <row r="156" spans="2:2" ht="13.5">
      <c r="B156" s="174" t="s">
        <v>644</v>
      </c>
    </row>
    <row r="157" spans="2:2" ht="13.5">
      <c r="B157" s="174" t="s">
        <v>645</v>
      </c>
    </row>
    <row r="158" spans="2:2" ht="13.5">
      <c r="B158" s="174" t="s">
        <v>646</v>
      </c>
    </row>
    <row r="159" spans="2:2" ht="13.5">
      <c r="B159" s="174" t="s">
        <v>647</v>
      </c>
    </row>
    <row r="160" spans="2:2" ht="13.5">
      <c r="B160" s="174" t="s">
        <v>648</v>
      </c>
    </row>
    <row r="161" spans="2:2" ht="13.5">
      <c r="B161" s="174" t="s">
        <v>649</v>
      </c>
    </row>
    <row r="162" spans="2:2" ht="13.5">
      <c r="B162" s="174" t="s">
        <v>650</v>
      </c>
    </row>
    <row r="163" spans="2:2" ht="13.5">
      <c r="B163" s="174" t="s">
        <v>651</v>
      </c>
    </row>
  </sheetData>
  <mergeCells count="1">
    <mergeCell ref="A7:B7"/>
  </mergeCells>
  <conditionalFormatting sqref="C8:C17 C104:C131 C19:C102">
    <cfRule type="cellIs" dxfId="151" priority="1" stopIfTrue="1" operator="equal">
      <formula>#REF!</formula>
    </cfRule>
  </conditionalFormatting>
  <conditionalFormatting sqref="D8:D17 D104:D131 D19:D102">
    <cfRule type="cellIs" dxfId="150" priority="2" stopIfTrue="1" operator="equal">
      <formula>#REF!</formula>
    </cfRule>
  </conditionalFormatting>
  <conditionalFormatting sqref="G8:G17 G19:G26 G104:G131 G28:G32 G34:G80 G82:G102">
    <cfRule type="cellIs" dxfId="149" priority="3" stopIfTrue="1" operator="equal">
      <formula>#REF!</formula>
    </cfRule>
  </conditionalFormatting>
  <conditionalFormatting sqref="H8:H17 H19:H26 H104:H131 H28:H32 H34:H102">
    <cfRule type="cellIs" dxfId="148" priority="4" stopIfTrue="1" operator="equal">
      <formula>#REF!</formula>
    </cfRule>
  </conditionalFormatting>
  <conditionalFormatting sqref="E8:E17 E19:E26 E104:E131 E28:E32 E34:E102">
    <cfRule type="cellIs" dxfId="147" priority="5" stopIfTrue="1" operator="equal">
      <formula>#REF!</formula>
    </cfRule>
  </conditionalFormatting>
  <conditionalFormatting sqref="F8:F17 F19:F26 F104:F131 F28:F32 F34:F102">
    <cfRule type="cellIs" dxfId="146" priority="6" stopIfTrue="1" operator="equal">
      <formula>#REF!</formula>
    </cfRule>
  </conditionalFormatting>
  <conditionalFormatting sqref="I8:I17 I19:I26 I28:I102 I104:I131">
    <cfRule type="cellIs" dxfId="145" priority="7" stopIfTrue="1" operator="equal">
      <formula>#REF!</formula>
    </cfRule>
  </conditionalFormatting>
  <conditionalFormatting sqref="J8:J17 J19:J26 J28:J102 J104:J131">
    <cfRule type="cellIs" dxfId="144" priority="8" stopIfTrue="1" operator="equal">
      <formula>#REF!</formula>
    </cfRule>
  </conditionalFormatting>
  <conditionalFormatting sqref="K8:K17 K19:K26 K28:K102 K104:K131">
    <cfRule type="cellIs" dxfId="143" priority="9" stopIfTrue="1" operator="equal">
      <formula>#REF!</formula>
    </cfRule>
  </conditionalFormatting>
  <conditionalFormatting sqref="L8:L17 L19:L26 L28:L102 L104:L131">
    <cfRule type="cellIs" dxfId="142" priority="10" stopIfTrue="1" operator="equal">
      <formula>#REF!</formula>
    </cfRule>
  </conditionalFormatting>
  <conditionalFormatting sqref="M8:M17 M19:M26 M104:M131 M28:M32 M34:M102">
    <cfRule type="cellIs" dxfId="141" priority="11" stopIfTrue="1" operator="equal">
      <formula>#REF!</formula>
    </cfRule>
  </conditionalFormatting>
  <conditionalFormatting sqref="N8:N17 N19:N26 N104:N131 N28:N32 N34:N102">
    <cfRule type="cellIs" dxfId="140" priority="12" stopIfTrue="1" operator="equal">
      <formula>#REF!</formula>
    </cfRule>
  </conditionalFormatting>
  <conditionalFormatting sqref="O8:O17 O19:O26 O28:O102 O104:O131">
    <cfRule type="cellIs" dxfId="139" priority="13" stopIfTrue="1" operator="equal">
      <formula>#REF!</formula>
    </cfRule>
  </conditionalFormatting>
  <conditionalFormatting sqref="P8:P17 P19:P26 P28:P102 P104:P131">
    <cfRule type="cellIs" dxfId="138" priority="14" stopIfTrue="1" operator="equal">
      <formula>#REF!</formula>
    </cfRule>
  </conditionalFormatting>
  <conditionalFormatting sqref="G81">
    <cfRule type="cellIs" dxfId="137" priority="15" stopIfTrue="1" operator="equal">
      <formula>#REF!</formula>
    </cfRule>
  </conditionalFormatting>
  <printOptions horizontalCentered="1"/>
  <pageMargins left="0.98425196850393704" right="0.59055118110236227" top="0.71" bottom="0.6" header="0.27559055118110237" footer="0.27559055118110237"/>
  <pageSetup paperSize="5" scale="66" fitToHeight="0" orientation="landscape" r:id="rId1"/>
  <headerFooter alignWithMargins="0">
    <oddFooter>&amp;C&amp;"Arial Narrow,Normal"&amp;9&amp;P de &amp;N&amp;R&amp;"Arial Narrow,Normal"&amp;9&amp;D -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0"/>
  <sheetViews>
    <sheetView zoomScaleNormal="100" workbookViewId="0">
      <selection activeCell="F9" sqref="F9"/>
    </sheetView>
  </sheetViews>
  <sheetFormatPr baseColWidth="10" defaultRowHeight="12.75"/>
  <cols>
    <col min="1" max="1" width="5.28515625" customWidth="1"/>
    <col min="2" max="2" width="21.85546875" customWidth="1"/>
    <col min="3" max="3" width="8.7109375" customWidth="1"/>
    <col min="4" max="4" width="8" customWidth="1"/>
    <col min="5" max="5" width="6.28515625" customWidth="1"/>
    <col min="6" max="6" width="5.42578125" customWidth="1"/>
    <col min="7" max="7" width="6.28515625" bestFit="1" customWidth="1"/>
    <col min="8" max="8" width="10.85546875" customWidth="1"/>
    <col min="9" max="9" width="6.140625" customWidth="1"/>
    <col min="10" max="10" width="8" customWidth="1"/>
    <col min="11" max="11" width="6.28515625" customWidth="1"/>
    <col min="12" max="12" width="6.5703125" bestFit="1" customWidth="1"/>
    <col min="13" max="13" width="6.28515625" customWidth="1"/>
    <col min="14" max="15" width="5.42578125" customWidth="1"/>
    <col min="16" max="16" width="6.5703125" bestFit="1" customWidth="1"/>
    <col min="17" max="17" width="6.28515625" customWidth="1"/>
    <col min="18" max="18" width="7.5703125" customWidth="1"/>
    <col min="19" max="19" width="6.28515625" customWidth="1"/>
    <col min="20" max="20" width="6.5703125" bestFit="1" customWidth="1"/>
    <col min="21" max="21" width="6.28515625" customWidth="1"/>
    <col min="22" max="22" width="9.140625" bestFit="1" customWidth="1"/>
    <col min="23" max="24" width="9.140625" customWidth="1"/>
    <col min="25" max="25" width="13" bestFit="1" customWidth="1"/>
    <col min="26" max="26" width="6.5703125" bestFit="1" customWidth="1"/>
    <col min="27" max="27" width="6.28515625" bestFit="1" customWidth="1"/>
    <col min="28" max="28" width="9.28515625" style="64" bestFit="1" customWidth="1"/>
    <col min="29" max="29" width="11.42578125" style="61"/>
    <col min="30" max="30" width="7.85546875" style="61" customWidth="1"/>
    <col min="31" max="31" width="11.42578125" style="61"/>
    <col min="32" max="32" width="7.28515625" style="61" customWidth="1"/>
    <col min="33" max="33" width="6.85546875" style="61" customWidth="1"/>
    <col min="34" max="16384" width="11.42578125" style="61"/>
  </cols>
  <sheetData>
    <row r="1" spans="1:34" s="4" customFormat="1" ht="14.25" customHeight="1">
      <c r="A1" s="1" t="s">
        <v>0</v>
      </c>
      <c r="B1" s="1"/>
      <c r="C1" s="2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3"/>
    </row>
    <row r="2" spans="1:34" s="4" customFormat="1" ht="14.25" customHeight="1">
      <c r="A2" s="1"/>
      <c r="B2" s="1"/>
      <c r="C2" s="5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3"/>
    </row>
    <row r="3" spans="1:34" s="4" customFormat="1" ht="14.25">
      <c r="A3" s="6"/>
      <c r="B3" s="6"/>
      <c r="C3" s="2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34" s="4" customFormat="1">
      <c r="A4" s="7"/>
      <c r="B4" s="8"/>
      <c r="C4" s="9" t="s">
        <v>182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0"/>
      <c r="R4" s="8"/>
      <c r="S4" s="8"/>
      <c r="T4" s="8"/>
      <c r="U4" s="8"/>
      <c r="V4" s="8"/>
      <c r="W4" s="8"/>
      <c r="X4" s="8"/>
      <c r="Y4" s="8"/>
      <c r="Z4" s="8"/>
      <c r="AA4" s="8"/>
      <c r="AB4" s="11"/>
    </row>
    <row r="5" spans="1:34" s="4" customFormat="1" ht="15" customHeight="1">
      <c r="A5" s="12"/>
      <c r="B5" s="12"/>
      <c r="C5" s="9" t="s">
        <v>183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3"/>
      <c r="R5" s="12"/>
      <c r="S5" s="12"/>
      <c r="T5" s="12"/>
      <c r="U5" s="12"/>
      <c r="V5" s="12"/>
      <c r="W5" s="12"/>
      <c r="X5" s="12"/>
      <c r="Y5" s="12"/>
      <c r="Z5" s="12"/>
      <c r="AA5" s="12"/>
      <c r="AB5" s="14"/>
    </row>
    <row r="6" spans="1:34" s="19" customFormat="1" ht="3" customHeight="1">
      <c r="A6" s="15"/>
      <c r="B6" s="15"/>
      <c r="C6" s="16"/>
      <c r="D6" s="15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8"/>
    </row>
    <row r="7" spans="1:34" s="21" customFormat="1" ht="11.25" customHeight="1">
      <c r="A7" s="529" t="s">
        <v>4</v>
      </c>
      <c r="B7" s="529" t="s">
        <v>5</v>
      </c>
      <c r="C7" s="530" t="s">
        <v>6</v>
      </c>
      <c r="D7" s="525" t="s">
        <v>7</v>
      </c>
      <c r="E7" s="526"/>
      <c r="F7" s="525" t="s">
        <v>8</v>
      </c>
      <c r="G7" s="526"/>
      <c r="H7" s="527" t="s">
        <v>9</v>
      </c>
      <c r="I7" s="528"/>
      <c r="J7" s="525" t="s">
        <v>10</v>
      </c>
      <c r="K7" s="526"/>
      <c r="L7" s="525" t="s">
        <v>11</v>
      </c>
      <c r="M7" s="526"/>
      <c r="N7" s="525" t="s">
        <v>12</v>
      </c>
      <c r="O7" s="526"/>
      <c r="P7" s="525" t="s">
        <v>13</v>
      </c>
      <c r="Q7" s="526"/>
      <c r="R7" s="525" t="s">
        <v>14</v>
      </c>
      <c r="S7" s="526"/>
      <c r="T7" s="531" t="s">
        <v>15</v>
      </c>
      <c r="U7" s="532"/>
      <c r="V7" s="20" t="s">
        <v>16</v>
      </c>
      <c r="W7" s="531" t="s">
        <v>17</v>
      </c>
      <c r="X7" s="532"/>
      <c r="Y7" s="525" t="s">
        <v>18</v>
      </c>
      <c r="Z7" s="533"/>
      <c r="AA7" s="526"/>
      <c r="AC7" s="531" t="s">
        <v>19</v>
      </c>
      <c r="AD7" s="532"/>
    </row>
    <row r="8" spans="1:34" s="21" customFormat="1">
      <c r="A8" s="529"/>
      <c r="B8" s="529"/>
      <c r="C8" s="530"/>
      <c r="D8" s="22" t="s">
        <v>20</v>
      </c>
      <c r="E8" s="22" t="s">
        <v>21</v>
      </c>
      <c r="F8" s="23" t="s">
        <v>20</v>
      </c>
      <c r="G8" s="22" t="s">
        <v>21</v>
      </c>
      <c r="H8" s="22" t="s">
        <v>20</v>
      </c>
      <c r="I8" s="22" t="s">
        <v>21</v>
      </c>
      <c r="J8" s="22" t="s">
        <v>20</v>
      </c>
      <c r="K8" s="22" t="s">
        <v>21</v>
      </c>
      <c r="L8" s="22" t="s">
        <v>20</v>
      </c>
      <c r="M8" s="22" t="s">
        <v>21</v>
      </c>
      <c r="N8" s="23" t="s">
        <v>20</v>
      </c>
      <c r="O8" s="22" t="s">
        <v>21</v>
      </c>
      <c r="P8" s="22" t="s">
        <v>20</v>
      </c>
      <c r="Q8" s="22" t="s">
        <v>21</v>
      </c>
      <c r="R8" s="22" t="s">
        <v>20</v>
      </c>
      <c r="S8" s="22" t="s">
        <v>21</v>
      </c>
      <c r="T8" s="22" t="s">
        <v>20</v>
      </c>
      <c r="U8" s="22" t="s">
        <v>21</v>
      </c>
      <c r="V8" s="24" t="s">
        <v>22</v>
      </c>
      <c r="W8" s="22" t="s">
        <v>20</v>
      </c>
      <c r="X8" s="22" t="s">
        <v>21</v>
      </c>
      <c r="Y8" s="22" t="s">
        <v>23</v>
      </c>
      <c r="Z8" s="22" t="s">
        <v>20</v>
      </c>
      <c r="AA8" s="22" t="s">
        <v>21</v>
      </c>
      <c r="AC8" s="22" t="s">
        <v>20</v>
      </c>
      <c r="AD8" s="22" t="s">
        <v>21</v>
      </c>
    </row>
    <row r="9" spans="1:34" s="21" customFormat="1" ht="17.25" customHeight="1">
      <c r="A9" s="25"/>
      <c r="B9" s="26" t="s">
        <v>24</v>
      </c>
      <c r="C9" s="27">
        <f>SUM(C10:C134)</f>
        <v>9014847</v>
      </c>
      <c r="D9" s="27">
        <v>1001722</v>
      </c>
      <c r="E9" s="28">
        <v>0.25781589410245903</v>
      </c>
      <c r="F9" s="27">
        <v>8926</v>
      </c>
      <c r="G9" s="28">
        <v>2.2973087051682498E-3</v>
      </c>
      <c r="H9" s="27">
        <v>1292655</v>
      </c>
      <c r="I9" s="28">
        <v>0.33269410534161592</v>
      </c>
      <c r="J9" s="27">
        <v>1166434</v>
      </c>
      <c r="K9" s="28">
        <v>0.3002082659874773</v>
      </c>
      <c r="L9" s="27">
        <v>124883</v>
      </c>
      <c r="M9" s="28">
        <v>3.2141474683791901E-2</v>
      </c>
      <c r="N9" s="27">
        <v>91</v>
      </c>
      <c r="O9" s="28">
        <v>2.3420915546752265E-5</v>
      </c>
      <c r="P9" s="27">
        <v>136934</v>
      </c>
      <c r="Q9" s="28">
        <v>3.5243073071197527E-2</v>
      </c>
      <c r="R9" s="27">
        <v>7146</v>
      </c>
      <c r="S9" s="28">
        <v>1.8391853021658428E-3</v>
      </c>
      <c r="T9" s="27">
        <v>112720</v>
      </c>
      <c r="U9" s="28">
        <v>2.9011050554174894E-2</v>
      </c>
      <c r="V9" s="27">
        <v>3885416</v>
      </c>
      <c r="W9" s="27">
        <v>33905</v>
      </c>
      <c r="X9" s="28">
        <v>8.7262213364025891E-3</v>
      </c>
      <c r="Y9" s="29"/>
      <c r="Z9" s="30"/>
      <c r="AA9" s="31"/>
    </row>
    <row r="10" spans="1:34" s="21" customFormat="1" ht="13.5">
      <c r="A10" s="32">
        <v>1</v>
      </c>
      <c r="B10" s="33" t="s">
        <v>25</v>
      </c>
      <c r="C10" s="34">
        <v>34738</v>
      </c>
      <c r="D10" s="35">
        <v>6730</v>
      </c>
      <c r="E10" s="36">
        <v>0.34183258837870784</v>
      </c>
      <c r="F10" s="37"/>
      <c r="G10" s="38"/>
      <c r="H10" s="35">
        <v>9396</v>
      </c>
      <c r="I10" s="36">
        <v>0.47724502234863875</v>
      </c>
      <c r="J10" s="35">
        <v>1518</v>
      </c>
      <c r="K10" s="36">
        <v>7.7102803738317752E-2</v>
      </c>
      <c r="L10" s="35">
        <v>889</v>
      </c>
      <c r="M10" s="36">
        <v>4.5154408776919952E-2</v>
      </c>
      <c r="N10" s="37"/>
      <c r="O10" s="38"/>
      <c r="P10" s="35">
        <v>98</v>
      </c>
      <c r="Q10" s="36">
        <v>4.9776513612352705E-3</v>
      </c>
      <c r="R10" s="35">
        <v>44</v>
      </c>
      <c r="S10" s="36">
        <v>2.2348638764729785E-3</v>
      </c>
      <c r="T10" s="35">
        <v>1013</v>
      </c>
      <c r="U10" s="36">
        <v>5.1452661519707434E-2</v>
      </c>
      <c r="V10" s="39">
        <v>19688</v>
      </c>
      <c r="W10" s="35"/>
      <c r="X10" s="35"/>
      <c r="Y10" s="40" t="s">
        <v>26</v>
      </c>
      <c r="Z10" s="35">
        <v>9235</v>
      </c>
      <c r="AA10" s="36">
        <v>0.46906745225518082</v>
      </c>
      <c r="AC10" s="41">
        <f>MAX(H10,Z10)</f>
        <v>9396</v>
      </c>
      <c r="AD10" s="42">
        <f>MAX(I10,AA10)</f>
        <v>0.47724502234863875</v>
      </c>
      <c r="AF10"/>
      <c r="AG10"/>
      <c r="AH10"/>
    </row>
    <row r="11" spans="1:34" s="21" customFormat="1">
      <c r="A11" s="32">
        <v>2</v>
      </c>
      <c r="B11" s="33" t="s">
        <v>27</v>
      </c>
      <c r="C11" s="34">
        <v>43771</v>
      </c>
      <c r="D11" s="35">
        <v>1736</v>
      </c>
      <c r="E11" s="36">
        <v>7.4267379679144388E-2</v>
      </c>
      <c r="F11" s="37"/>
      <c r="G11" s="38"/>
      <c r="H11" s="35">
        <v>11123</v>
      </c>
      <c r="I11" s="36">
        <v>0.47585026737967917</v>
      </c>
      <c r="J11" s="35">
        <v>9551</v>
      </c>
      <c r="K11" s="36">
        <v>0.40859893048128343</v>
      </c>
      <c r="L11" s="35">
        <v>158</v>
      </c>
      <c r="M11" s="36">
        <v>6.7593582887700539E-3</v>
      </c>
      <c r="N11" s="37"/>
      <c r="O11" s="38"/>
      <c r="P11" s="35">
        <v>328</v>
      </c>
      <c r="Q11" s="36">
        <v>1.4032085561497326E-2</v>
      </c>
      <c r="R11" s="35">
        <v>12</v>
      </c>
      <c r="S11" s="36">
        <v>5.1336898395721925E-4</v>
      </c>
      <c r="T11" s="35">
        <v>467</v>
      </c>
      <c r="U11" s="36">
        <v>1.9978609625668449E-2</v>
      </c>
      <c r="V11" s="39">
        <v>23375</v>
      </c>
      <c r="W11" s="35"/>
      <c r="X11" s="35"/>
      <c r="Y11" s="35"/>
      <c r="Z11" s="37"/>
      <c r="AA11" s="38"/>
      <c r="AC11" s="41">
        <f>MAX(D11,H11,J11,L11,R11,P11,T11)</f>
        <v>11123</v>
      </c>
      <c r="AD11" s="42">
        <f>MAX(E11,I11,K11,M11,S11,Q11,U11)</f>
        <v>0.47585026737967917</v>
      </c>
      <c r="AF11"/>
      <c r="AG11"/>
      <c r="AH11"/>
    </row>
    <row r="12" spans="1:34" s="21" customFormat="1">
      <c r="A12" s="32">
        <v>3</v>
      </c>
      <c r="B12" s="33" t="s">
        <v>163</v>
      </c>
      <c r="C12" s="34">
        <v>23335</v>
      </c>
      <c r="D12" s="35">
        <v>2071</v>
      </c>
      <c r="E12" s="36">
        <v>0.13392395240558716</v>
      </c>
      <c r="F12" s="37"/>
      <c r="G12" s="38"/>
      <c r="H12" s="35">
        <v>5256</v>
      </c>
      <c r="I12" s="36">
        <v>0.33988618727366787</v>
      </c>
      <c r="J12" s="35">
        <v>1187</v>
      </c>
      <c r="K12" s="36">
        <v>7.6758923952405592E-2</v>
      </c>
      <c r="L12" s="35">
        <v>152</v>
      </c>
      <c r="M12" s="36">
        <v>9.8292809105018104E-3</v>
      </c>
      <c r="N12" s="37"/>
      <c r="O12" s="38"/>
      <c r="P12" s="35">
        <v>4934</v>
      </c>
      <c r="Q12" s="36">
        <v>0.31906363166063112</v>
      </c>
      <c r="R12" s="35">
        <v>50</v>
      </c>
      <c r="S12" s="36">
        <v>3.2333160889808587E-3</v>
      </c>
      <c r="T12" s="35">
        <v>546</v>
      </c>
      <c r="U12" s="36">
        <v>3.5307811691670979E-2</v>
      </c>
      <c r="V12" s="39">
        <v>15464</v>
      </c>
      <c r="W12" s="35">
        <v>1268</v>
      </c>
      <c r="X12" s="36">
        <v>8.1996896016554577E-2</v>
      </c>
      <c r="Y12" s="35" t="s">
        <v>28</v>
      </c>
      <c r="Z12" s="35">
        <v>5086</v>
      </c>
      <c r="AA12" s="36">
        <v>0.32889291257113296</v>
      </c>
      <c r="AC12" s="41">
        <f>MAX(D12,H12,J12,Z12,R12,T12)</f>
        <v>5256</v>
      </c>
      <c r="AD12" s="42">
        <f>MAX(E12,I12,K12,AA12,S12,U12)</f>
        <v>0.33988618727366787</v>
      </c>
      <c r="AF12"/>
      <c r="AG12"/>
      <c r="AH12"/>
    </row>
    <row r="13" spans="1:34" s="21" customFormat="1">
      <c r="A13" s="32">
        <v>4</v>
      </c>
      <c r="B13" s="33" t="s">
        <v>29</v>
      </c>
      <c r="C13" s="34">
        <v>9359</v>
      </c>
      <c r="D13" s="35">
        <v>1038</v>
      </c>
      <c r="E13" s="36">
        <v>0.18358684117438981</v>
      </c>
      <c r="F13" s="37"/>
      <c r="G13" s="38"/>
      <c r="H13" s="35">
        <v>2407</v>
      </c>
      <c r="I13" s="36">
        <v>0.42571630703926422</v>
      </c>
      <c r="J13" s="35">
        <v>1922</v>
      </c>
      <c r="K13" s="36">
        <v>0.33993632826317649</v>
      </c>
      <c r="L13" s="35">
        <v>83</v>
      </c>
      <c r="M13" s="36">
        <v>1.4679872656526352E-2</v>
      </c>
      <c r="N13" s="37"/>
      <c r="O13" s="38"/>
      <c r="P13" s="37"/>
      <c r="Q13" s="38"/>
      <c r="R13" s="35">
        <v>5</v>
      </c>
      <c r="S13" s="36">
        <v>8.8432967810399721E-4</v>
      </c>
      <c r="T13" s="35">
        <v>199</v>
      </c>
      <c r="U13" s="36">
        <v>3.519632118853909E-2</v>
      </c>
      <c r="V13" s="39">
        <v>5654</v>
      </c>
      <c r="W13" s="35"/>
      <c r="X13" s="35"/>
      <c r="Y13" s="35" t="s">
        <v>30</v>
      </c>
      <c r="Z13" s="35">
        <v>2005</v>
      </c>
      <c r="AA13" s="36">
        <v>0.35461620091970286</v>
      </c>
      <c r="AC13" s="41">
        <f>MAX(D13,H13,Z13,R13,P13,T13)</f>
        <v>2407</v>
      </c>
      <c r="AD13" s="42">
        <f>MAX(E13,I13,AA13,S13,Q13,U13)</f>
        <v>0.42571630703926422</v>
      </c>
      <c r="AF13"/>
      <c r="AG13"/>
      <c r="AH13"/>
    </row>
    <row r="14" spans="1:34" s="21" customFormat="1">
      <c r="A14" s="32">
        <v>5</v>
      </c>
      <c r="B14" s="33" t="s">
        <v>31</v>
      </c>
      <c r="C14" s="34">
        <v>70325</v>
      </c>
      <c r="D14" s="35">
        <v>5650</v>
      </c>
      <c r="E14" s="36">
        <v>0.13772425897035881</v>
      </c>
      <c r="F14" s="37"/>
      <c r="G14" s="38"/>
      <c r="H14" s="35">
        <v>15440</v>
      </c>
      <c r="I14" s="36">
        <v>0.37636505460218411</v>
      </c>
      <c r="J14" s="35">
        <v>11894</v>
      </c>
      <c r="K14" s="36">
        <v>0.28992784711388453</v>
      </c>
      <c r="L14" s="35">
        <v>890</v>
      </c>
      <c r="M14" s="36">
        <v>2.1694617784711389E-2</v>
      </c>
      <c r="N14" s="37"/>
      <c r="O14" s="38"/>
      <c r="P14" s="35">
        <v>5266</v>
      </c>
      <c r="Q14" s="36">
        <v>0.12836388455538222</v>
      </c>
      <c r="R14" s="35">
        <v>50</v>
      </c>
      <c r="S14" s="36">
        <v>1.218798751950078E-3</v>
      </c>
      <c r="T14" s="35">
        <v>1834</v>
      </c>
      <c r="U14" s="36">
        <v>4.4705538221528861E-2</v>
      </c>
      <c r="V14" s="39">
        <v>41024</v>
      </c>
      <c r="W14" s="35"/>
      <c r="X14" s="35"/>
      <c r="Y14" s="35" t="s">
        <v>30</v>
      </c>
      <c r="Z14" s="35">
        <v>12784</v>
      </c>
      <c r="AA14" s="36">
        <v>0.31162246489859596</v>
      </c>
      <c r="AC14" s="41">
        <f>MAX(D14,H14,Z14,R14,P14,T14)</f>
        <v>15440</v>
      </c>
      <c r="AD14" s="42">
        <f>MAX(E14,I14,AA14,S14,Q14,U14)</f>
        <v>0.37636505460218411</v>
      </c>
      <c r="AF14"/>
      <c r="AG14"/>
      <c r="AH14"/>
    </row>
    <row r="15" spans="1:34" s="21" customFormat="1">
      <c r="A15" s="32">
        <v>6</v>
      </c>
      <c r="B15" s="33" t="s">
        <v>32</v>
      </c>
      <c r="C15" s="34">
        <v>6330</v>
      </c>
      <c r="D15" s="35">
        <v>629</v>
      </c>
      <c r="E15" s="36">
        <v>0.16132341626057964</v>
      </c>
      <c r="F15" s="37"/>
      <c r="G15" s="38"/>
      <c r="H15" s="35">
        <v>1512</v>
      </c>
      <c r="I15" s="36">
        <v>0.38779174147217232</v>
      </c>
      <c r="J15" s="35">
        <v>1036</v>
      </c>
      <c r="K15" s="36">
        <v>0.26570915619389585</v>
      </c>
      <c r="L15" s="35">
        <v>556</v>
      </c>
      <c r="M15" s="36">
        <v>0.14260066683765069</v>
      </c>
      <c r="N15" s="37"/>
      <c r="O15" s="38"/>
      <c r="P15" s="35">
        <v>66</v>
      </c>
      <c r="Q15" s="36">
        <v>1.6927417286483715E-2</v>
      </c>
      <c r="R15" s="35">
        <v>2</v>
      </c>
      <c r="S15" s="36">
        <v>5.1295203898435492E-4</v>
      </c>
      <c r="T15" s="35">
        <v>98</v>
      </c>
      <c r="U15" s="36">
        <v>2.5134649910233394E-2</v>
      </c>
      <c r="V15" s="39">
        <v>3899</v>
      </c>
      <c r="W15" s="35"/>
      <c r="X15" s="35"/>
      <c r="Y15" s="35"/>
      <c r="Z15" s="37"/>
      <c r="AA15" s="38"/>
      <c r="AC15" s="41">
        <f>MAX(D15,H15,J15,L15,R15,P15,T15)</f>
        <v>1512</v>
      </c>
      <c r="AD15" s="42">
        <f>MAX(E15,I15,K15,M15,S15,Q15,U15)</f>
        <v>0.38779174147217232</v>
      </c>
      <c r="AF15"/>
      <c r="AG15"/>
      <c r="AH15"/>
    </row>
    <row r="16" spans="1:34" s="21" customFormat="1">
      <c r="A16" s="43">
        <v>7</v>
      </c>
      <c r="B16" s="44" t="s">
        <v>33</v>
      </c>
      <c r="C16" s="45">
        <v>11901</v>
      </c>
      <c r="D16" s="35">
        <v>731</v>
      </c>
      <c r="E16" s="36">
        <v>9.569315355413012E-2</v>
      </c>
      <c r="F16" s="37"/>
      <c r="G16" s="38"/>
      <c r="H16" s="35">
        <v>2979</v>
      </c>
      <c r="I16" s="36">
        <v>0.38997250949077106</v>
      </c>
      <c r="J16" s="35">
        <v>3558</v>
      </c>
      <c r="K16" s="36">
        <v>0.4657677706506087</v>
      </c>
      <c r="L16" s="35">
        <v>53</v>
      </c>
      <c r="M16" s="36">
        <v>6.9380809006414452E-3</v>
      </c>
      <c r="N16" s="37"/>
      <c r="O16" s="38"/>
      <c r="P16" s="35">
        <v>12</v>
      </c>
      <c r="Q16" s="36">
        <v>1.5708862416546668E-3</v>
      </c>
      <c r="R16" s="35">
        <v>7</v>
      </c>
      <c r="S16" s="36">
        <v>9.1635030763188895E-4</v>
      </c>
      <c r="T16" s="35">
        <v>299</v>
      </c>
      <c r="U16" s="36">
        <v>3.9141248854562112E-2</v>
      </c>
      <c r="V16" s="39">
        <v>7639</v>
      </c>
      <c r="W16" s="35"/>
      <c r="X16" s="35"/>
      <c r="Y16" s="35" t="s">
        <v>34</v>
      </c>
      <c r="Z16" s="35">
        <v>3623</v>
      </c>
      <c r="AA16" s="36">
        <v>0.47427673779290486</v>
      </c>
      <c r="AC16" s="41">
        <f>MAX(D16,H16,R16,Z16,T16)</f>
        <v>3623</v>
      </c>
      <c r="AD16" s="42">
        <f>MAX(E16,I16,S16,AA16,U16)</f>
        <v>0.47427673779290486</v>
      </c>
      <c r="AF16"/>
      <c r="AG16"/>
      <c r="AH16"/>
    </row>
    <row r="17" spans="1:34" s="21" customFormat="1">
      <c r="A17" s="32">
        <v>8</v>
      </c>
      <c r="B17" s="33" t="s">
        <v>35</v>
      </c>
      <c r="C17" s="34">
        <v>19723</v>
      </c>
      <c r="D17" s="35">
        <v>599</v>
      </c>
      <c r="E17" s="36">
        <v>4.9122519271773003E-2</v>
      </c>
      <c r="F17" s="37"/>
      <c r="G17" s="38"/>
      <c r="H17" s="35">
        <v>6221</v>
      </c>
      <c r="I17" s="36">
        <v>0.51016893554206988</v>
      </c>
      <c r="J17" s="35">
        <v>4840</v>
      </c>
      <c r="K17" s="36">
        <v>0.39691651631950137</v>
      </c>
      <c r="L17" s="35">
        <v>66</v>
      </c>
      <c r="M17" s="36">
        <v>5.4124979498113828E-3</v>
      </c>
      <c r="N17" s="37"/>
      <c r="O17" s="38"/>
      <c r="P17" s="35">
        <v>56</v>
      </c>
      <c r="Q17" s="36">
        <v>4.5924225028702642E-3</v>
      </c>
      <c r="R17" s="35">
        <v>6</v>
      </c>
      <c r="S17" s="36">
        <v>4.9204526816467112E-4</v>
      </c>
      <c r="T17" s="35">
        <v>406</v>
      </c>
      <c r="U17" s="36">
        <v>3.3295063145809413E-2</v>
      </c>
      <c r="V17" s="39">
        <v>12194</v>
      </c>
      <c r="W17" s="35"/>
      <c r="X17" s="35"/>
      <c r="Y17" s="35"/>
      <c r="Z17" s="37"/>
      <c r="AA17" s="38"/>
      <c r="AC17" s="41">
        <f>MAX(D17,H17,J17,L17,R17,P17,T17)</f>
        <v>6221</v>
      </c>
      <c r="AD17" s="42">
        <f>MAX(E17,I17,K17,M17,S17,Q17,U17)</f>
        <v>0.51016893554206988</v>
      </c>
      <c r="AF17"/>
      <c r="AG17"/>
      <c r="AH17"/>
    </row>
    <row r="18" spans="1:34" s="21" customFormat="1">
      <c r="A18" s="32">
        <v>9</v>
      </c>
      <c r="B18" s="33" t="s">
        <v>36</v>
      </c>
      <c r="C18" s="34">
        <v>31568</v>
      </c>
      <c r="D18" s="35">
        <v>3622</v>
      </c>
      <c r="E18" s="36">
        <v>0.20383814508413528</v>
      </c>
      <c r="F18" s="37"/>
      <c r="G18" s="38"/>
      <c r="H18" s="35">
        <v>5736</v>
      </c>
      <c r="I18" s="36">
        <v>0.32280938713489787</v>
      </c>
      <c r="J18" s="35">
        <v>6678</v>
      </c>
      <c r="K18" s="36">
        <v>0.37582306263717713</v>
      </c>
      <c r="L18" s="35">
        <v>704</v>
      </c>
      <c r="M18" s="36">
        <v>3.9619562158815916E-2</v>
      </c>
      <c r="N18" s="37"/>
      <c r="O18" s="38"/>
      <c r="P18" s="35">
        <v>481</v>
      </c>
      <c r="Q18" s="36">
        <v>2.7069615622713716E-2</v>
      </c>
      <c r="R18" s="35">
        <v>10</v>
      </c>
      <c r="S18" s="36">
        <v>5.6277787157408968E-4</v>
      </c>
      <c r="T18" s="35">
        <v>538</v>
      </c>
      <c r="U18" s="36">
        <v>3.0277449490686028E-2</v>
      </c>
      <c r="V18" s="39">
        <v>17769</v>
      </c>
      <c r="W18" s="35"/>
      <c r="X18" s="35"/>
      <c r="Y18" s="35"/>
      <c r="Z18" s="37"/>
      <c r="AA18" s="38"/>
      <c r="AC18" s="41">
        <f>MAX(D18,H18,J18,L18,R18,P18,T18)</f>
        <v>6678</v>
      </c>
      <c r="AD18" s="42">
        <f>MAX(E18,I18,K18,M18,S18,Q18,U18)</f>
        <v>0.37582306263717713</v>
      </c>
      <c r="AF18"/>
      <c r="AG18"/>
      <c r="AH18"/>
    </row>
    <row r="19" spans="1:34" s="21" customFormat="1">
      <c r="A19" s="32">
        <v>10</v>
      </c>
      <c r="B19" s="33" t="s">
        <v>37</v>
      </c>
      <c r="C19" s="34">
        <v>15735</v>
      </c>
      <c r="D19" s="35">
        <v>6718</v>
      </c>
      <c r="E19" s="36">
        <v>0.67865440953631684</v>
      </c>
      <c r="F19" s="37"/>
      <c r="G19" s="38"/>
      <c r="H19" s="35">
        <v>1531</v>
      </c>
      <c r="I19" s="36">
        <v>0.15466208707950299</v>
      </c>
      <c r="J19" s="35">
        <v>845</v>
      </c>
      <c r="K19" s="36">
        <v>8.5362157793716531E-2</v>
      </c>
      <c r="L19" s="35">
        <v>604</v>
      </c>
      <c r="M19" s="36">
        <v>6.101626426911809E-2</v>
      </c>
      <c r="N19" s="37"/>
      <c r="O19" s="38"/>
      <c r="P19" s="35">
        <v>16</v>
      </c>
      <c r="Q19" s="36">
        <v>1.6163248813011416E-3</v>
      </c>
      <c r="R19" s="35">
        <v>4</v>
      </c>
      <c r="S19" s="36">
        <v>4.040812203252854E-4</v>
      </c>
      <c r="T19" s="35">
        <v>181</v>
      </c>
      <c r="U19" s="36">
        <v>1.8284675219719163E-2</v>
      </c>
      <c r="V19" s="39">
        <v>9899</v>
      </c>
      <c r="W19" s="35"/>
      <c r="X19" s="35"/>
      <c r="Y19" s="35" t="s">
        <v>28</v>
      </c>
      <c r="Z19" s="35">
        <v>620</v>
      </c>
      <c r="AA19" s="36">
        <v>6.2632589150419235E-2</v>
      </c>
      <c r="AC19" s="41">
        <f>MAX(D19,H19,J19,Z19,R19,T19)</f>
        <v>6718</v>
      </c>
      <c r="AD19" s="42">
        <f>MAX(E19,I19,K19,AA19,S19,U19)</f>
        <v>0.67865440953631684</v>
      </c>
      <c r="AF19"/>
      <c r="AG19"/>
      <c r="AH19"/>
    </row>
    <row r="20" spans="1:34" s="21" customFormat="1">
      <c r="A20" s="32">
        <v>11</v>
      </c>
      <c r="B20" s="33" t="s">
        <v>38</v>
      </c>
      <c r="C20" s="34">
        <v>23767</v>
      </c>
      <c r="D20" s="35">
        <v>822</v>
      </c>
      <c r="E20" s="36">
        <v>7.2775564409030546E-2</v>
      </c>
      <c r="F20" s="37"/>
      <c r="G20" s="38"/>
      <c r="H20" s="35">
        <v>2805</v>
      </c>
      <c r="I20" s="36">
        <v>0.24833997343957503</v>
      </c>
      <c r="J20" s="35">
        <v>3580</v>
      </c>
      <c r="K20" s="36">
        <v>0.31695440460380697</v>
      </c>
      <c r="L20" s="35">
        <v>870</v>
      </c>
      <c r="M20" s="36">
        <v>7.702523240371846E-2</v>
      </c>
      <c r="N20" s="37"/>
      <c r="O20" s="38"/>
      <c r="P20" s="35">
        <v>2922</v>
      </c>
      <c r="Q20" s="36">
        <v>0.25869853917662683</v>
      </c>
      <c r="R20" s="35">
        <v>5</v>
      </c>
      <c r="S20" s="36">
        <v>4.4267374944665782E-4</v>
      </c>
      <c r="T20" s="35">
        <v>291</v>
      </c>
      <c r="U20" s="36">
        <v>2.5763612217795485E-2</v>
      </c>
      <c r="V20" s="39">
        <v>11295</v>
      </c>
      <c r="W20" s="35"/>
      <c r="X20" s="35"/>
      <c r="Y20" s="35"/>
      <c r="Z20" s="37"/>
      <c r="AA20" s="38"/>
      <c r="AC20" s="41">
        <f>MAX(D20,H20,J20,L20,R20,P20,T20)</f>
        <v>3580</v>
      </c>
      <c r="AD20" s="42">
        <f>MAX(E20,I20,K20,M20,S20,Q20,U20)</f>
        <v>0.31695440460380697</v>
      </c>
      <c r="AF20"/>
      <c r="AG20"/>
      <c r="AH20"/>
    </row>
    <row r="21" spans="1:34" s="21" customFormat="1">
      <c r="A21" s="32">
        <v>12</v>
      </c>
      <c r="B21" s="33" t="s">
        <v>39</v>
      </c>
      <c r="C21" s="34">
        <v>5512</v>
      </c>
      <c r="D21" s="35">
        <v>1078</v>
      </c>
      <c r="E21" s="36">
        <v>0.34440894568690095</v>
      </c>
      <c r="F21" s="37"/>
      <c r="G21" s="38"/>
      <c r="H21" s="35">
        <v>1213</v>
      </c>
      <c r="I21" s="36">
        <v>0.38753993610223642</v>
      </c>
      <c r="J21" s="35">
        <v>324</v>
      </c>
      <c r="K21" s="36">
        <v>0.10351437699680512</v>
      </c>
      <c r="L21" s="35">
        <v>47</v>
      </c>
      <c r="M21" s="36">
        <v>1.5015974440894569E-2</v>
      </c>
      <c r="N21" s="37"/>
      <c r="O21" s="38"/>
      <c r="P21" s="35">
        <v>366</v>
      </c>
      <c r="Q21" s="36">
        <v>0.11693290734824281</v>
      </c>
      <c r="R21" s="35">
        <v>3</v>
      </c>
      <c r="S21" s="36">
        <v>9.5846645367412143E-4</v>
      </c>
      <c r="T21" s="35">
        <v>99</v>
      </c>
      <c r="U21" s="36">
        <v>3.1629392971246006E-2</v>
      </c>
      <c r="V21" s="39">
        <v>3130</v>
      </c>
      <c r="W21" s="35"/>
      <c r="X21" s="35"/>
      <c r="Y21" s="35" t="s">
        <v>30</v>
      </c>
      <c r="Z21" s="35">
        <v>371</v>
      </c>
      <c r="AA21" s="36">
        <v>0.11853035143769967</v>
      </c>
      <c r="AC21" s="41">
        <f>MAX(D21,H21,Z21,R21,P21,T21)</f>
        <v>1213</v>
      </c>
      <c r="AD21" s="42">
        <f>MAX(E21,I21,AA21,S21,Q21,U21)</f>
        <v>0.38753993610223642</v>
      </c>
      <c r="AF21"/>
      <c r="AG21"/>
      <c r="AH21"/>
    </row>
    <row r="22" spans="1:34" s="21" customFormat="1">
      <c r="A22" s="43">
        <v>13</v>
      </c>
      <c r="B22" s="44" t="s">
        <v>40</v>
      </c>
      <c r="C22" s="34">
        <v>332999</v>
      </c>
      <c r="D22" s="35">
        <v>58051</v>
      </c>
      <c r="E22" s="36">
        <v>0.49428663873846257</v>
      </c>
      <c r="F22" s="37"/>
      <c r="G22" s="38"/>
      <c r="H22" s="35">
        <v>29048</v>
      </c>
      <c r="I22" s="36">
        <v>0.24733490003746467</v>
      </c>
      <c r="J22" s="35">
        <v>25983</v>
      </c>
      <c r="K22" s="36">
        <v>0.22123735567589659</v>
      </c>
      <c r="L22" s="35">
        <v>664</v>
      </c>
      <c r="M22" s="36">
        <v>5.6537583869759201E-3</v>
      </c>
      <c r="N22" s="37"/>
      <c r="O22" s="38"/>
      <c r="P22" s="35">
        <v>998</v>
      </c>
      <c r="Q22" s="36">
        <v>8.497666973195735E-3</v>
      </c>
      <c r="R22" s="35">
        <v>150</v>
      </c>
      <c r="S22" s="36">
        <v>1.2772044548891386E-3</v>
      </c>
      <c r="T22" s="35">
        <v>2550</v>
      </c>
      <c r="U22" s="36">
        <v>2.1712475733115359E-2</v>
      </c>
      <c r="V22" s="39">
        <v>117444</v>
      </c>
      <c r="W22" s="35"/>
      <c r="X22" s="35"/>
      <c r="Y22" s="35" t="s">
        <v>34</v>
      </c>
      <c r="Z22" s="35">
        <v>27645</v>
      </c>
      <c r="AA22" s="36">
        <v>0.23538878103606825</v>
      </c>
      <c r="AC22" s="41">
        <f>MAX(D22,H22,R22,Z22,T22)</f>
        <v>58051</v>
      </c>
      <c r="AD22" s="42">
        <f>MAX(E22,I22,S22,AA22,U22)</f>
        <v>0.49428663873846257</v>
      </c>
      <c r="AF22"/>
      <c r="AG22"/>
      <c r="AH22"/>
    </row>
    <row r="23" spans="1:34" s="21" customFormat="1">
      <c r="A23" s="32">
        <v>14</v>
      </c>
      <c r="B23" s="33" t="s">
        <v>41</v>
      </c>
      <c r="C23" s="34">
        <v>50616</v>
      </c>
      <c r="D23" s="35">
        <v>4125</v>
      </c>
      <c r="E23" s="36">
        <v>0.17237776849143335</v>
      </c>
      <c r="F23" s="37"/>
      <c r="G23" s="38"/>
      <c r="H23" s="35">
        <v>10914</v>
      </c>
      <c r="I23" s="36">
        <v>0.45608023401587966</v>
      </c>
      <c r="J23" s="35">
        <v>2425</v>
      </c>
      <c r="K23" s="36">
        <v>0.10133723359799415</v>
      </c>
      <c r="L23" s="35">
        <v>239</v>
      </c>
      <c r="M23" s="36">
        <v>9.9874634350188042E-3</v>
      </c>
      <c r="N23" s="37"/>
      <c r="O23" s="38"/>
      <c r="P23" s="35">
        <v>5175</v>
      </c>
      <c r="Q23" s="36">
        <v>0.21625574592561639</v>
      </c>
      <c r="R23" s="35">
        <v>59</v>
      </c>
      <c r="S23" s="36">
        <v>2.4655244463017132E-3</v>
      </c>
      <c r="T23" s="35">
        <v>993</v>
      </c>
      <c r="U23" s="36">
        <v>4.1496030087755952E-2</v>
      </c>
      <c r="V23" s="39">
        <v>23930</v>
      </c>
      <c r="W23" s="35"/>
      <c r="X23" s="35"/>
      <c r="Y23" s="35" t="s">
        <v>28</v>
      </c>
      <c r="Z23" s="35">
        <v>5414</v>
      </c>
      <c r="AA23" s="36">
        <v>0.22624320936063519</v>
      </c>
      <c r="AC23" s="41">
        <f>MAX(D23,H23,J23,Z23,R23,T23)</f>
        <v>10914</v>
      </c>
      <c r="AD23" s="42">
        <f>MAX(E23,I23,K23,AA23,S23,U23)</f>
        <v>0.45608023401587966</v>
      </c>
      <c r="AF23"/>
      <c r="AG23"/>
      <c r="AH23"/>
    </row>
    <row r="24" spans="1:34" s="21" customFormat="1">
      <c r="A24" s="32">
        <v>15</v>
      </c>
      <c r="B24" s="33" t="s">
        <v>42</v>
      </c>
      <c r="C24" s="34">
        <v>15998</v>
      </c>
      <c r="D24" s="35">
        <v>3786</v>
      </c>
      <c r="E24" s="36">
        <v>0.41908346247509409</v>
      </c>
      <c r="F24" s="37"/>
      <c r="G24" s="38"/>
      <c r="H24" s="35">
        <v>1785</v>
      </c>
      <c r="I24" s="36">
        <v>0.1975868939561656</v>
      </c>
      <c r="J24" s="35">
        <v>1575</v>
      </c>
      <c r="K24" s="36">
        <v>0.17434137702014613</v>
      </c>
      <c r="L24" s="35">
        <v>1588</v>
      </c>
      <c r="M24" s="36">
        <v>0.1757803852114235</v>
      </c>
      <c r="N24" s="37"/>
      <c r="O24" s="38"/>
      <c r="P24" s="37"/>
      <c r="Q24" s="38"/>
      <c r="R24" s="35">
        <v>2</v>
      </c>
      <c r="S24" s="36">
        <v>2.2138587558113792E-4</v>
      </c>
      <c r="T24" s="35">
        <v>298</v>
      </c>
      <c r="U24" s="36">
        <v>3.2986495461589549E-2</v>
      </c>
      <c r="V24" s="39">
        <v>9034</v>
      </c>
      <c r="W24" s="35"/>
      <c r="X24" s="35"/>
      <c r="Y24" s="35"/>
      <c r="Z24" s="37"/>
      <c r="AA24" s="38"/>
      <c r="AC24" s="41">
        <f t="shared" ref="AC24:AD29" si="0">MAX(D24,H24,J24,L24,R24,P24,T24)</f>
        <v>3786</v>
      </c>
      <c r="AD24" s="42">
        <f t="shared" si="0"/>
        <v>0.41908346247509409</v>
      </c>
      <c r="AF24"/>
      <c r="AG24"/>
      <c r="AH24"/>
    </row>
    <row r="25" spans="1:34" s="21" customFormat="1">
      <c r="A25" s="32">
        <v>16</v>
      </c>
      <c r="B25" s="33" t="s">
        <v>164</v>
      </c>
      <c r="C25" s="34">
        <v>12908</v>
      </c>
      <c r="D25" s="35">
        <v>2394</v>
      </c>
      <c r="E25" s="36">
        <v>0.26494023904382469</v>
      </c>
      <c r="F25" s="37"/>
      <c r="G25" s="38"/>
      <c r="H25" s="35">
        <v>2660</v>
      </c>
      <c r="I25" s="36">
        <v>0.29437804338202744</v>
      </c>
      <c r="J25" s="35">
        <v>1782</v>
      </c>
      <c r="K25" s="36">
        <v>0.19721115537848605</v>
      </c>
      <c r="L25" s="35">
        <v>1805</v>
      </c>
      <c r="M25" s="36">
        <v>0.19975652943780434</v>
      </c>
      <c r="N25" s="37"/>
      <c r="O25" s="38"/>
      <c r="P25" s="37"/>
      <c r="Q25" s="38"/>
      <c r="R25" s="35">
        <v>2</v>
      </c>
      <c r="S25" s="36">
        <v>2.2133687472332891E-4</v>
      </c>
      <c r="T25" s="35">
        <v>231</v>
      </c>
      <c r="U25" s="36">
        <v>2.556440903054449E-2</v>
      </c>
      <c r="V25" s="39">
        <v>9036</v>
      </c>
      <c r="W25" s="35">
        <v>162</v>
      </c>
      <c r="X25" s="36">
        <v>1.7928286852589643E-2</v>
      </c>
      <c r="Y25" s="35"/>
      <c r="Z25" s="37"/>
      <c r="AA25" s="38"/>
      <c r="AC25" s="41">
        <f t="shared" si="0"/>
        <v>2660</v>
      </c>
      <c r="AD25" s="42">
        <f t="shared" si="0"/>
        <v>0.29437804338202744</v>
      </c>
      <c r="AF25"/>
      <c r="AG25"/>
      <c r="AH25"/>
    </row>
    <row r="26" spans="1:34" s="21" customFormat="1">
      <c r="A26" s="32">
        <v>17</v>
      </c>
      <c r="B26" s="33" t="s">
        <v>43</v>
      </c>
      <c r="C26" s="34">
        <v>4000</v>
      </c>
      <c r="D26" s="35">
        <v>392</v>
      </c>
      <c r="E26" s="36">
        <v>0.14166967835200578</v>
      </c>
      <c r="F26" s="37"/>
      <c r="G26" s="38"/>
      <c r="H26" s="35">
        <v>965</v>
      </c>
      <c r="I26" s="36">
        <v>0.34875316226960607</v>
      </c>
      <c r="J26" s="35">
        <v>1150</v>
      </c>
      <c r="K26" s="36">
        <v>0.41561257679797614</v>
      </c>
      <c r="L26" s="35">
        <v>194</v>
      </c>
      <c r="M26" s="36">
        <v>7.0112034694615105E-2</v>
      </c>
      <c r="N26" s="37"/>
      <c r="O26" s="38"/>
      <c r="P26" s="37"/>
      <c r="Q26" s="38"/>
      <c r="R26" s="35">
        <v>0</v>
      </c>
      <c r="S26" s="36">
        <v>0</v>
      </c>
      <c r="T26" s="35">
        <v>66</v>
      </c>
      <c r="U26" s="36">
        <v>2.3852547885796892E-2</v>
      </c>
      <c r="V26" s="39">
        <v>2767</v>
      </c>
      <c r="W26" s="35"/>
      <c r="X26" s="35"/>
      <c r="Y26" s="35"/>
      <c r="Z26" s="37"/>
      <c r="AA26" s="38"/>
      <c r="AC26" s="41">
        <f t="shared" si="0"/>
        <v>1150</v>
      </c>
      <c r="AD26" s="42">
        <f t="shared" si="0"/>
        <v>0.41561257679797614</v>
      </c>
      <c r="AF26"/>
      <c r="AG26"/>
      <c r="AH26"/>
    </row>
    <row r="27" spans="1:34" s="21" customFormat="1">
      <c r="A27" s="32">
        <v>18</v>
      </c>
      <c r="B27" s="33" t="s">
        <v>44</v>
      </c>
      <c r="C27" s="34">
        <v>22626</v>
      </c>
      <c r="D27" s="35">
        <v>3040</v>
      </c>
      <c r="E27" s="36">
        <v>0.21723595826782907</v>
      </c>
      <c r="F27" s="37"/>
      <c r="G27" s="38"/>
      <c r="H27" s="35">
        <v>3783</v>
      </c>
      <c r="I27" s="36">
        <v>0.27033014148920964</v>
      </c>
      <c r="J27" s="35">
        <v>1488</v>
      </c>
      <c r="K27" s="36">
        <v>0.10633128483635844</v>
      </c>
      <c r="L27" s="35">
        <v>4321</v>
      </c>
      <c r="M27" s="36">
        <v>0.30877518936687154</v>
      </c>
      <c r="N27" s="37"/>
      <c r="O27" s="38"/>
      <c r="P27" s="35">
        <v>935</v>
      </c>
      <c r="Q27" s="36">
        <v>6.6814349006717164E-2</v>
      </c>
      <c r="R27" s="35">
        <v>3</v>
      </c>
      <c r="S27" s="36">
        <v>2.1437759039588395E-4</v>
      </c>
      <c r="T27" s="35">
        <v>424</v>
      </c>
      <c r="U27" s="36">
        <v>3.0298699442618263E-2</v>
      </c>
      <c r="V27" s="39">
        <v>13994</v>
      </c>
      <c r="W27" s="35"/>
      <c r="X27" s="35"/>
      <c r="Y27" s="35"/>
      <c r="Z27" s="37"/>
      <c r="AA27" s="38"/>
      <c r="AC27" s="41">
        <f t="shared" si="0"/>
        <v>4321</v>
      </c>
      <c r="AD27" s="42">
        <f t="shared" si="0"/>
        <v>0.30877518936687154</v>
      </c>
      <c r="AF27"/>
      <c r="AG27"/>
      <c r="AH27"/>
    </row>
    <row r="28" spans="1:34" s="21" customFormat="1">
      <c r="A28" s="32">
        <v>19</v>
      </c>
      <c r="B28" s="33" t="s">
        <v>45</v>
      </c>
      <c r="C28" s="34">
        <v>19033</v>
      </c>
      <c r="D28" s="35">
        <v>731</v>
      </c>
      <c r="E28" s="36">
        <v>9.0694789081885857E-2</v>
      </c>
      <c r="F28" s="37"/>
      <c r="G28" s="38"/>
      <c r="H28" s="35">
        <v>2784</v>
      </c>
      <c r="I28" s="36">
        <v>0.34540942928039703</v>
      </c>
      <c r="J28" s="35">
        <v>3989</v>
      </c>
      <c r="K28" s="36">
        <v>0.49491315136476427</v>
      </c>
      <c r="L28" s="35">
        <v>29</v>
      </c>
      <c r="M28" s="36">
        <v>3.5980148883374692E-3</v>
      </c>
      <c r="N28" s="37"/>
      <c r="O28" s="38"/>
      <c r="P28" s="35">
        <v>353</v>
      </c>
      <c r="Q28" s="36">
        <v>4.379652605459057E-2</v>
      </c>
      <c r="R28" s="35">
        <v>4</v>
      </c>
      <c r="S28" s="36">
        <v>4.9627791563275434E-4</v>
      </c>
      <c r="T28" s="35">
        <v>170</v>
      </c>
      <c r="U28" s="36">
        <v>2.1091811414392061E-2</v>
      </c>
      <c r="V28" s="39">
        <v>8060</v>
      </c>
      <c r="W28" s="35"/>
      <c r="X28" s="35"/>
      <c r="Y28" s="35"/>
      <c r="Z28" s="37"/>
      <c r="AA28" s="38"/>
      <c r="AC28" s="41">
        <f t="shared" si="0"/>
        <v>3989</v>
      </c>
      <c r="AD28" s="42">
        <f t="shared" si="0"/>
        <v>0.49491315136476427</v>
      </c>
      <c r="AF28"/>
      <c r="AG28"/>
      <c r="AH28"/>
    </row>
    <row r="29" spans="1:34" s="21" customFormat="1">
      <c r="A29" s="32">
        <v>20</v>
      </c>
      <c r="B29" s="33" t="s">
        <v>165</v>
      </c>
      <c r="C29" s="34">
        <v>179939</v>
      </c>
      <c r="D29" s="35">
        <v>20345</v>
      </c>
      <c r="E29" s="36">
        <v>0.25256663314836197</v>
      </c>
      <c r="F29" s="37"/>
      <c r="G29" s="38"/>
      <c r="H29" s="35">
        <v>30315</v>
      </c>
      <c r="I29" s="36">
        <v>0.37633607686864551</v>
      </c>
      <c r="J29" s="35">
        <v>26188</v>
      </c>
      <c r="K29" s="36">
        <v>0.32510272739686913</v>
      </c>
      <c r="L29" s="35">
        <v>877</v>
      </c>
      <c r="M29" s="36">
        <v>1.0887241940089134E-2</v>
      </c>
      <c r="N29" s="37"/>
      <c r="O29" s="38"/>
      <c r="P29" s="35">
        <v>1209</v>
      </c>
      <c r="Q29" s="36">
        <v>1.5008752001787643E-2</v>
      </c>
      <c r="R29" s="35">
        <v>60</v>
      </c>
      <c r="S29" s="36">
        <v>7.4485121596961008E-4</v>
      </c>
      <c r="T29" s="35">
        <v>1559</v>
      </c>
      <c r="U29" s="36">
        <v>1.9353717428277035E-2</v>
      </c>
      <c r="V29" s="39">
        <v>80553</v>
      </c>
      <c r="W29" s="46"/>
      <c r="X29" s="47"/>
      <c r="Y29" s="35"/>
      <c r="Z29" s="37"/>
      <c r="AA29" s="38"/>
      <c r="AC29" s="41">
        <f t="shared" si="0"/>
        <v>30315</v>
      </c>
      <c r="AD29" s="42">
        <f t="shared" si="0"/>
        <v>0.37633607686864551</v>
      </c>
      <c r="AF29"/>
      <c r="AG29"/>
      <c r="AH29"/>
    </row>
    <row r="30" spans="1:34" s="21" customFormat="1">
      <c r="A30" s="32">
        <v>21</v>
      </c>
      <c r="B30" s="33" t="s">
        <v>46</v>
      </c>
      <c r="C30" s="34">
        <v>20269</v>
      </c>
      <c r="D30" s="35">
        <v>1743</v>
      </c>
      <c r="E30" s="36">
        <v>0.14813870474247834</v>
      </c>
      <c r="F30" s="37"/>
      <c r="G30" s="38"/>
      <c r="H30" s="35">
        <v>4489</v>
      </c>
      <c r="I30" s="36">
        <v>0.38152303246642871</v>
      </c>
      <c r="J30" s="35">
        <v>611</v>
      </c>
      <c r="K30" s="36">
        <v>5.192928777834438E-2</v>
      </c>
      <c r="L30" s="35">
        <v>2380</v>
      </c>
      <c r="M30" s="36">
        <v>0.20227774944756077</v>
      </c>
      <c r="N30" s="37"/>
      <c r="O30" s="38"/>
      <c r="P30" s="35">
        <v>1985</v>
      </c>
      <c r="Q30" s="36">
        <v>0.16870644229134796</v>
      </c>
      <c r="R30" s="35">
        <v>11</v>
      </c>
      <c r="S30" s="36">
        <v>9.3489716131225562E-4</v>
      </c>
      <c r="T30" s="35">
        <v>547</v>
      </c>
      <c r="U30" s="36">
        <v>4.648988611252762E-2</v>
      </c>
      <c r="V30" s="39">
        <v>11766</v>
      </c>
      <c r="W30" s="35"/>
      <c r="X30" s="35"/>
      <c r="Y30" s="35" t="s">
        <v>30</v>
      </c>
      <c r="Z30" s="35">
        <v>2991</v>
      </c>
      <c r="AA30" s="36">
        <v>0.25420703722590515</v>
      </c>
      <c r="AC30" s="41">
        <f>MAX(D30,H30,Z30,R30,P30,T30)</f>
        <v>4489</v>
      </c>
      <c r="AD30" s="42">
        <f>MAX(E30,I30,AA30,S30,Q30,U30)</f>
        <v>0.38152303246642871</v>
      </c>
      <c r="AF30"/>
      <c r="AG30"/>
      <c r="AH30"/>
    </row>
    <row r="31" spans="1:34" s="21" customFormat="1">
      <c r="A31" s="32">
        <v>22</v>
      </c>
      <c r="B31" s="33" t="s">
        <v>47</v>
      </c>
      <c r="C31" s="34">
        <v>7953</v>
      </c>
      <c r="D31" s="35">
        <v>1521</v>
      </c>
      <c r="E31" s="36">
        <v>0.28392757140190406</v>
      </c>
      <c r="F31" s="37"/>
      <c r="G31" s="38"/>
      <c r="H31" s="35">
        <v>1703</v>
      </c>
      <c r="I31" s="36">
        <v>0.31790181071495238</v>
      </c>
      <c r="J31" s="35">
        <v>887</v>
      </c>
      <c r="K31" s="36">
        <v>0.16557774873996639</v>
      </c>
      <c r="L31" s="35">
        <v>182</v>
      </c>
      <c r="M31" s="36">
        <v>3.3974239313048347E-2</v>
      </c>
      <c r="N31" s="37"/>
      <c r="O31" s="38"/>
      <c r="P31" s="35">
        <v>989</v>
      </c>
      <c r="Q31" s="36">
        <v>0.18461825648683966</v>
      </c>
      <c r="R31" s="35">
        <v>2</v>
      </c>
      <c r="S31" s="36">
        <v>3.7334328915437746E-4</v>
      </c>
      <c r="T31" s="35">
        <v>73</v>
      </c>
      <c r="U31" s="36">
        <v>1.3627030054134777E-2</v>
      </c>
      <c r="V31" s="39">
        <v>5357</v>
      </c>
      <c r="W31" s="35"/>
      <c r="X31" s="35"/>
      <c r="Y31" s="35"/>
      <c r="Z31" s="37"/>
      <c r="AA31" s="38"/>
      <c r="AC31" s="41">
        <f>MAX(D31,H31,J31,L31,R31,P31,T31)</f>
        <v>1703</v>
      </c>
      <c r="AD31" s="42">
        <f>MAX(E31,I31,K31,M31,S31,Q31,U31)</f>
        <v>0.31790181071495238</v>
      </c>
      <c r="AF31"/>
      <c r="AG31"/>
      <c r="AH31"/>
    </row>
    <row r="32" spans="1:34" s="21" customFormat="1">
      <c r="A32" s="32">
        <v>23</v>
      </c>
      <c r="B32" s="33" t="s">
        <v>48</v>
      </c>
      <c r="C32" s="34">
        <v>25894</v>
      </c>
      <c r="D32" s="35">
        <v>2205</v>
      </c>
      <c r="E32" s="36">
        <v>0.17998530732185128</v>
      </c>
      <c r="F32" s="37"/>
      <c r="G32" s="38"/>
      <c r="H32" s="35">
        <v>3516</v>
      </c>
      <c r="I32" s="36">
        <v>0.28699697983838052</v>
      </c>
      <c r="J32" s="35">
        <v>3554</v>
      </c>
      <c r="K32" s="36">
        <v>0.29009876744755531</v>
      </c>
      <c r="L32" s="35">
        <v>355</v>
      </c>
      <c r="M32" s="36">
        <v>2.897722634886948E-2</v>
      </c>
      <c r="N32" s="37"/>
      <c r="O32" s="38"/>
      <c r="P32" s="35">
        <v>2263</v>
      </c>
      <c r="Q32" s="36">
        <v>0.18471961472532855</v>
      </c>
      <c r="R32" s="35">
        <v>11</v>
      </c>
      <c r="S32" s="36">
        <v>8.9788588686637825E-4</v>
      </c>
      <c r="T32" s="35">
        <v>347</v>
      </c>
      <c r="U32" s="36">
        <v>2.8324218431148476E-2</v>
      </c>
      <c r="V32" s="39">
        <v>12251</v>
      </c>
      <c r="W32" s="35"/>
      <c r="X32" s="35"/>
      <c r="Y32" s="35" t="s">
        <v>30</v>
      </c>
      <c r="Z32" s="35">
        <v>3909</v>
      </c>
      <c r="AA32" s="36">
        <v>0.31907599379642476</v>
      </c>
      <c r="AC32" s="41">
        <f>MAX(D32,H32,Z32,R32,P32,T32)</f>
        <v>3909</v>
      </c>
      <c r="AD32" s="42">
        <f>MAX(E32,I32,AA32,S32,Q32,U32)</f>
        <v>0.31907599379642476</v>
      </c>
      <c r="AF32"/>
      <c r="AG32"/>
      <c r="AH32"/>
    </row>
    <row r="33" spans="1:34" s="21" customFormat="1">
      <c r="A33" s="32">
        <v>24</v>
      </c>
      <c r="B33" s="44" t="s">
        <v>49</v>
      </c>
      <c r="C33" s="34">
        <v>47961</v>
      </c>
      <c r="D33" s="35">
        <v>4218</v>
      </c>
      <c r="E33" s="36">
        <v>0.17916153421399142</v>
      </c>
      <c r="F33" s="37"/>
      <c r="G33" s="38"/>
      <c r="H33" s="35">
        <v>9751</v>
      </c>
      <c r="I33" s="36">
        <v>0.41417831202480565</v>
      </c>
      <c r="J33" s="35">
        <v>6718</v>
      </c>
      <c r="K33" s="36">
        <v>0.28535021025357854</v>
      </c>
      <c r="L33" s="35">
        <v>2093</v>
      </c>
      <c r="M33" s="36">
        <v>8.8901159580342351E-2</v>
      </c>
      <c r="N33" s="37"/>
      <c r="O33" s="38"/>
      <c r="P33" s="35">
        <v>211</v>
      </c>
      <c r="Q33" s="36">
        <v>8.9623242577411538E-3</v>
      </c>
      <c r="R33" s="35">
        <v>19</v>
      </c>
      <c r="S33" s="36">
        <v>8.070339379008623E-4</v>
      </c>
      <c r="T33" s="35">
        <v>533</v>
      </c>
      <c r="U33" s="36">
        <v>2.2639425731639979E-2</v>
      </c>
      <c r="V33" s="39">
        <v>23543</v>
      </c>
      <c r="W33" s="35"/>
      <c r="X33" s="35"/>
      <c r="Y33" s="35" t="s">
        <v>50</v>
      </c>
      <c r="Z33" s="35">
        <v>6929</v>
      </c>
      <c r="AA33" s="36">
        <v>0.29431253451131972</v>
      </c>
      <c r="AC33" s="41">
        <f>MAX(D33,H33,L33,R33,Z33,T33)</f>
        <v>9751</v>
      </c>
      <c r="AD33" s="42">
        <f>MAX(E33,I33,M33,S33,AA33,U33)</f>
        <v>0.41417831202480565</v>
      </c>
      <c r="AF33"/>
      <c r="AG33"/>
      <c r="AH33"/>
    </row>
    <row r="34" spans="1:34" s="21" customFormat="1">
      <c r="A34" s="32">
        <v>25</v>
      </c>
      <c r="B34" s="33" t="s">
        <v>166</v>
      </c>
      <c r="C34" s="34">
        <v>325554</v>
      </c>
      <c r="D34" s="35">
        <v>60411</v>
      </c>
      <c r="E34" s="36">
        <v>0.42381490237896463</v>
      </c>
      <c r="F34" s="37"/>
      <c r="G34" s="38"/>
      <c r="H34" s="35">
        <v>46022</v>
      </c>
      <c r="I34" s="36">
        <v>0.3228685080082222</v>
      </c>
      <c r="J34" s="35">
        <v>23744</v>
      </c>
      <c r="K34" s="36">
        <v>0.16657663409124393</v>
      </c>
      <c r="L34" s="35">
        <v>4055</v>
      </c>
      <c r="M34" s="36">
        <v>2.8447955325134524E-2</v>
      </c>
      <c r="N34" s="37"/>
      <c r="O34" s="38"/>
      <c r="P34" s="35">
        <v>1350</v>
      </c>
      <c r="Q34" s="36">
        <v>9.470959232782147E-3</v>
      </c>
      <c r="R34" s="35">
        <v>136</v>
      </c>
      <c r="S34" s="36">
        <v>9.5411144863583107E-4</v>
      </c>
      <c r="T34" s="35">
        <v>3242</v>
      </c>
      <c r="U34" s="36">
        <v>2.2744333209392384E-2</v>
      </c>
      <c r="V34" s="39">
        <v>142541</v>
      </c>
      <c r="W34" s="35">
        <v>3581</v>
      </c>
      <c r="X34" s="36">
        <v>2.5122596305624346E-2</v>
      </c>
      <c r="Y34" s="35"/>
      <c r="Z34" s="37"/>
      <c r="AA34" s="38"/>
      <c r="AC34" s="41">
        <f t="shared" ref="AC34:AD37" si="1">MAX(D34,H34,J34,L34,R34,P34,T34)</f>
        <v>60411</v>
      </c>
      <c r="AD34" s="42">
        <f t="shared" si="1"/>
        <v>0.42381490237896463</v>
      </c>
      <c r="AF34"/>
      <c r="AG34"/>
      <c r="AH34"/>
    </row>
    <row r="35" spans="1:34" s="21" customFormat="1">
      <c r="A35" s="32">
        <v>26</v>
      </c>
      <c r="B35" s="33" t="s">
        <v>51</v>
      </c>
      <c r="C35" s="34">
        <v>141975</v>
      </c>
      <c r="D35" s="35">
        <v>10404</v>
      </c>
      <c r="E35" s="36">
        <v>0.16517694127359614</v>
      </c>
      <c r="F35" s="37"/>
      <c r="G35" s="38"/>
      <c r="H35" s="35">
        <v>20653</v>
      </c>
      <c r="I35" s="36">
        <v>0.32789305729753759</v>
      </c>
      <c r="J35" s="35">
        <v>25815</v>
      </c>
      <c r="K35" s="36">
        <v>0.40984647625700543</v>
      </c>
      <c r="L35" s="35">
        <v>1757</v>
      </c>
      <c r="M35" s="36">
        <v>2.7894644926730914E-2</v>
      </c>
      <c r="N35" s="37"/>
      <c r="O35" s="38"/>
      <c r="P35" s="35">
        <v>2337</v>
      </c>
      <c r="Q35" s="36">
        <v>3.7102894248019436E-2</v>
      </c>
      <c r="R35" s="35">
        <v>57</v>
      </c>
      <c r="S35" s="36">
        <v>9.049486401955959E-4</v>
      </c>
      <c r="T35" s="35">
        <v>1964</v>
      </c>
      <c r="U35" s="36">
        <v>3.1181037356914919E-2</v>
      </c>
      <c r="V35" s="39">
        <v>62987</v>
      </c>
      <c r="W35" s="35"/>
      <c r="X35" s="35"/>
      <c r="Y35" s="35"/>
      <c r="Z35" s="37"/>
      <c r="AA35" s="38"/>
      <c r="AC35" s="41">
        <f t="shared" si="1"/>
        <v>25815</v>
      </c>
      <c r="AD35" s="42">
        <f t="shared" si="1"/>
        <v>0.40984647625700543</v>
      </c>
      <c r="AF35"/>
      <c r="AG35"/>
      <c r="AH35"/>
    </row>
    <row r="36" spans="1:34" s="21" customFormat="1">
      <c r="A36" s="32">
        <v>27</v>
      </c>
      <c r="B36" s="33" t="s">
        <v>52</v>
      </c>
      <c r="C36" s="34">
        <v>14151</v>
      </c>
      <c r="D36" s="35">
        <v>5038</v>
      </c>
      <c r="E36" s="36">
        <v>0.4877057115198451</v>
      </c>
      <c r="F36" s="37"/>
      <c r="G36" s="38"/>
      <c r="H36" s="35">
        <v>3030</v>
      </c>
      <c r="I36" s="36">
        <v>0.29332042594385288</v>
      </c>
      <c r="J36" s="35">
        <v>1819</v>
      </c>
      <c r="K36" s="36">
        <v>0.17608906098741531</v>
      </c>
      <c r="L36" s="35">
        <v>72</v>
      </c>
      <c r="M36" s="36">
        <v>6.9699903194578895E-3</v>
      </c>
      <c r="N36" s="37"/>
      <c r="O36" s="38"/>
      <c r="P36" s="37"/>
      <c r="Q36" s="38"/>
      <c r="R36" s="35">
        <v>14</v>
      </c>
      <c r="S36" s="36">
        <v>1.3552758954501452E-3</v>
      </c>
      <c r="T36" s="35">
        <v>357</v>
      </c>
      <c r="U36" s="36">
        <v>3.4559535333978701E-2</v>
      </c>
      <c r="V36" s="39">
        <v>10330</v>
      </c>
      <c r="W36" s="35"/>
      <c r="X36" s="35"/>
      <c r="Y36" s="35"/>
      <c r="Z36" s="37"/>
      <c r="AA36" s="38"/>
      <c r="AC36" s="41">
        <f t="shared" si="1"/>
        <v>5038</v>
      </c>
      <c r="AD36" s="42">
        <f t="shared" si="1"/>
        <v>0.4877057115198451</v>
      </c>
      <c r="AF36"/>
      <c r="AG36"/>
      <c r="AH36"/>
    </row>
    <row r="37" spans="1:34" s="21" customFormat="1">
      <c r="A37" s="32">
        <v>28</v>
      </c>
      <c r="B37" s="33" t="s">
        <v>53</v>
      </c>
      <c r="C37" s="34">
        <v>3759</v>
      </c>
      <c r="D37" s="35">
        <v>662</v>
      </c>
      <c r="E37" s="36">
        <v>0.24284666177549524</v>
      </c>
      <c r="F37" s="37"/>
      <c r="G37" s="38"/>
      <c r="H37" s="35">
        <v>1073</v>
      </c>
      <c r="I37" s="36">
        <v>0.39361702127659576</v>
      </c>
      <c r="J37" s="35">
        <v>281</v>
      </c>
      <c r="K37" s="36">
        <v>0.10308143800440206</v>
      </c>
      <c r="L37" s="35">
        <v>615</v>
      </c>
      <c r="M37" s="36">
        <v>0.22560528246515041</v>
      </c>
      <c r="N37" s="37"/>
      <c r="O37" s="38"/>
      <c r="P37" s="35">
        <v>32</v>
      </c>
      <c r="Q37" s="36">
        <v>1.173881144534116E-2</v>
      </c>
      <c r="R37" s="35">
        <v>4</v>
      </c>
      <c r="S37" s="36">
        <v>1.467351430667645E-3</v>
      </c>
      <c r="T37" s="35">
        <v>59</v>
      </c>
      <c r="U37" s="36">
        <v>2.1643433602347762E-2</v>
      </c>
      <c r="V37" s="39">
        <v>2726</v>
      </c>
      <c r="W37" s="35"/>
      <c r="X37" s="35"/>
      <c r="Y37" s="35"/>
      <c r="Z37" s="37"/>
      <c r="AA37" s="38"/>
      <c r="AC37" s="41">
        <f t="shared" si="1"/>
        <v>1073</v>
      </c>
      <c r="AD37" s="42">
        <f t="shared" si="1"/>
        <v>0.39361702127659576</v>
      </c>
      <c r="AF37"/>
      <c r="AG37"/>
      <c r="AH37"/>
    </row>
    <row r="38" spans="1:34" s="21" customFormat="1">
      <c r="A38" s="43">
        <v>29</v>
      </c>
      <c r="B38" s="44" t="s">
        <v>54</v>
      </c>
      <c r="C38" s="34">
        <v>14531</v>
      </c>
      <c r="D38" s="35">
        <v>457</v>
      </c>
      <c r="E38" s="36">
        <v>4.6138313982836951E-2</v>
      </c>
      <c r="F38" s="37"/>
      <c r="G38" s="38"/>
      <c r="H38" s="35">
        <v>4733</v>
      </c>
      <c r="I38" s="36">
        <v>0.47783947501261986</v>
      </c>
      <c r="J38" s="35">
        <v>4408</v>
      </c>
      <c r="K38" s="36">
        <v>0.44502776375567893</v>
      </c>
      <c r="L38" s="35">
        <v>60</v>
      </c>
      <c r="M38" s="36">
        <v>6.0575466935890963E-3</v>
      </c>
      <c r="N38" s="37"/>
      <c r="O38" s="38"/>
      <c r="P38" s="35">
        <v>89</v>
      </c>
      <c r="Q38" s="36">
        <v>8.9853609288238264E-3</v>
      </c>
      <c r="R38" s="35">
        <v>9</v>
      </c>
      <c r="S38" s="36">
        <v>9.0863200403836452E-4</v>
      </c>
      <c r="T38" s="35">
        <v>149</v>
      </c>
      <c r="U38" s="36">
        <v>1.5042907622412923E-2</v>
      </c>
      <c r="V38" s="39">
        <v>9905</v>
      </c>
      <c r="W38" s="35"/>
      <c r="X38" s="35"/>
      <c r="Y38" s="35" t="s">
        <v>28</v>
      </c>
      <c r="Z38" s="35">
        <v>149</v>
      </c>
      <c r="AA38" s="36">
        <v>1.5042907622412923E-2</v>
      </c>
      <c r="AC38" s="41">
        <f>MAX(D38,H38,J38,Z38,R38,T38)</f>
        <v>4733</v>
      </c>
      <c r="AD38" s="42">
        <f>MAX(E38,I38,K38,AA38,S38,U38)</f>
        <v>0.47783947501261986</v>
      </c>
      <c r="AF38"/>
      <c r="AG38"/>
      <c r="AH38"/>
    </row>
    <row r="39" spans="1:34" s="21" customFormat="1">
      <c r="A39" s="32">
        <v>30</v>
      </c>
      <c r="B39" s="33" t="s">
        <v>55</v>
      </c>
      <c r="C39" s="34">
        <v>79405</v>
      </c>
      <c r="D39" s="35">
        <v>1583</v>
      </c>
      <c r="E39" s="36">
        <v>4.8074586977648201E-2</v>
      </c>
      <c r="F39" s="37"/>
      <c r="G39" s="38"/>
      <c r="H39" s="35">
        <v>14123</v>
      </c>
      <c r="I39" s="36">
        <v>0.42890549076773565</v>
      </c>
      <c r="J39" s="35">
        <v>15167</v>
      </c>
      <c r="K39" s="36">
        <v>0.46061103012633625</v>
      </c>
      <c r="L39" s="35">
        <v>207</v>
      </c>
      <c r="M39" s="36">
        <v>6.2864431486880463E-3</v>
      </c>
      <c r="N39" s="37"/>
      <c r="O39" s="38"/>
      <c r="P39" s="35">
        <v>710</v>
      </c>
      <c r="Q39" s="36">
        <v>2.1562196307094265E-2</v>
      </c>
      <c r="R39" s="35">
        <v>42</v>
      </c>
      <c r="S39" s="36">
        <v>1.2755102040816326E-3</v>
      </c>
      <c r="T39" s="35">
        <v>1096</v>
      </c>
      <c r="U39" s="36">
        <v>3.3284742468415937E-2</v>
      </c>
      <c r="V39" s="39">
        <v>32928</v>
      </c>
      <c r="W39" s="35"/>
      <c r="X39" s="35"/>
      <c r="Y39" s="35" t="s">
        <v>30</v>
      </c>
      <c r="Z39" s="35">
        <v>15374</v>
      </c>
      <c r="AA39" s="36">
        <v>0.46689747327502429</v>
      </c>
      <c r="AC39" s="41">
        <f>MAX(D39,H39,Z39,R39,P39,T39)</f>
        <v>15374</v>
      </c>
      <c r="AD39" s="42">
        <f>MAX(E39,I39,AA39,S39,Q39,U39)</f>
        <v>0.46689747327502429</v>
      </c>
      <c r="AF39"/>
      <c r="AG39"/>
      <c r="AH39"/>
    </row>
    <row r="40" spans="1:34" s="21" customFormat="1">
      <c r="A40" s="32">
        <v>31</v>
      </c>
      <c r="B40" s="33" t="s">
        <v>56</v>
      </c>
      <c r="C40" s="34">
        <v>13549</v>
      </c>
      <c r="D40" s="35">
        <v>1686</v>
      </c>
      <c r="E40" s="36">
        <v>0.21164951041928196</v>
      </c>
      <c r="F40" s="37"/>
      <c r="G40" s="38"/>
      <c r="H40" s="35">
        <v>1536</v>
      </c>
      <c r="I40" s="36">
        <v>0.19281948280190811</v>
      </c>
      <c r="J40" s="35">
        <v>1036</v>
      </c>
      <c r="K40" s="36">
        <v>0.13005272407732865</v>
      </c>
      <c r="L40" s="35">
        <v>1310</v>
      </c>
      <c r="M40" s="36">
        <v>0.16444890785839819</v>
      </c>
      <c r="N40" s="37"/>
      <c r="O40" s="38"/>
      <c r="P40" s="35">
        <v>2195</v>
      </c>
      <c r="Q40" s="36">
        <v>0.27554607080090382</v>
      </c>
      <c r="R40" s="35">
        <v>16</v>
      </c>
      <c r="S40" s="36">
        <v>2.0085362791865428E-3</v>
      </c>
      <c r="T40" s="35">
        <v>187</v>
      </c>
      <c r="U40" s="36">
        <v>2.3474767762992718E-2</v>
      </c>
      <c r="V40" s="39">
        <v>7966</v>
      </c>
      <c r="W40" s="35"/>
      <c r="X40" s="35"/>
      <c r="Y40" s="35"/>
      <c r="Z40" s="37"/>
      <c r="AA40" s="38"/>
      <c r="AC40" s="41">
        <f>MAX(D40,H40,J40,L40,R40,P40,T40)</f>
        <v>2195</v>
      </c>
      <c r="AD40" s="42">
        <f>MAX(E40,I40,K40,M40,S40,Q40,U40)</f>
        <v>0.27554607080090382</v>
      </c>
      <c r="AF40"/>
      <c r="AG40"/>
      <c r="AH40"/>
    </row>
    <row r="41" spans="1:34" s="21" customFormat="1">
      <c r="A41" s="32">
        <v>32</v>
      </c>
      <c r="B41" s="33" t="s">
        <v>167</v>
      </c>
      <c r="C41" s="34">
        <v>305471</v>
      </c>
      <c r="D41" s="35">
        <v>8548</v>
      </c>
      <c r="E41" s="36">
        <v>9.8238194292806821E-2</v>
      </c>
      <c r="F41" s="37"/>
      <c r="G41" s="38"/>
      <c r="H41" s="35">
        <v>38383</v>
      </c>
      <c r="I41" s="36">
        <v>0.441117993862986</v>
      </c>
      <c r="J41" s="35">
        <v>33425</v>
      </c>
      <c r="K41" s="36">
        <v>0.38413800236746232</v>
      </c>
      <c r="L41" s="35">
        <v>746</v>
      </c>
      <c r="M41" s="36">
        <v>8.5734315562042453E-3</v>
      </c>
      <c r="N41" s="37"/>
      <c r="O41" s="38"/>
      <c r="P41" s="35">
        <v>2045</v>
      </c>
      <c r="Q41" s="36">
        <v>2.3502235298173836E-2</v>
      </c>
      <c r="R41" s="35">
        <v>149</v>
      </c>
      <c r="S41" s="36">
        <v>1.7123878041212233E-3</v>
      </c>
      <c r="T41" s="35">
        <v>2874</v>
      </c>
      <c r="U41" s="36">
        <v>3.3029547309022793E-2</v>
      </c>
      <c r="V41" s="39">
        <v>87013</v>
      </c>
      <c r="W41" s="35">
        <v>843</v>
      </c>
      <c r="X41" s="36">
        <v>9.6882075092227602E-3</v>
      </c>
      <c r="Y41" s="35" t="s">
        <v>30</v>
      </c>
      <c r="Z41" s="35">
        <v>34171</v>
      </c>
      <c r="AA41" s="36">
        <v>0.39271143392366659</v>
      </c>
      <c r="AC41" s="41">
        <f>MAX(D41,H41,Z41,R41,P41,T41)</f>
        <v>38383</v>
      </c>
      <c r="AD41" s="42">
        <f>MAX(E41,I41,AA41,S41,Q41,U41)</f>
        <v>0.441117993862986</v>
      </c>
      <c r="AF41"/>
      <c r="AG41"/>
      <c r="AH41"/>
    </row>
    <row r="42" spans="1:34" s="21" customFormat="1">
      <c r="A42" s="32">
        <v>33</v>
      </c>
      <c r="B42" s="33" t="s">
        <v>57</v>
      </c>
      <c r="C42" s="34">
        <v>16105</v>
      </c>
      <c r="D42" s="35">
        <v>432</v>
      </c>
      <c r="E42" s="36">
        <v>3.6138531035636606E-2</v>
      </c>
      <c r="F42" s="37"/>
      <c r="G42" s="38"/>
      <c r="H42" s="35">
        <v>4659</v>
      </c>
      <c r="I42" s="36">
        <v>0.38974401873849757</v>
      </c>
      <c r="J42" s="35">
        <v>6348</v>
      </c>
      <c r="K42" s="36">
        <v>0.53103563660699349</v>
      </c>
      <c r="L42" s="35">
        <v>45</v>
      </c>
      <c r="M42" s="36">
        <v>3.7644303162121468E-3</v>
      </c>
      <c r="N42" s="37"/>
      <c r="O42" s="38"/>
      <c r="P42" s="35">
        <v>56</v>
      </c>
      <c r="Q42" s="36">
        <v>4.684624393508449E-3</v>
      </c>
      <c r="R42" s="35">
        <v>5</v>
      </c>
      <c r="S42" s="36">
        <v>4.1827003513468297E-4</v>
      </c>
      <c r="T42" s="35">
        <v>409</v>
      </c>
      <c r="U42" s="36">
        <v>3.4214488874017068E-2</v>
      </c>
      <c r="V42" s="39">
        <v>11954</v>
      </c>
      <c r="W42" s="35"/>
      <c r="X42" s="35"/>
      <c r="Y42" s="35"/>
      <c r="Z42" s="37"/>
      <c r="AA42" s="38"/>
      <c r="AC42" s="41">
        <f>MAX(D42,H42,J42,L42,R42,P42,T42)</f>
        <v>6348</v>
      </c>
      <c r="AD42" s="42">
        <f>MAX(E42,I42,K42,M42,S42,Q42,U42)</f>
        <v>0.53103563660699349</v>
      </c>
      <c r="AF42"/>
      <c r="AG42"/>
      <c r="AH42"/>
    </row>
    <row r="43" spans="1:34" s="21" customFormat="1">
      <c r="A43" s="43">
        <v>34</v>
      </c>
      <c r="B43" s="44" t="s">
        <v>168</v>
      </c>
      <c r="C43" s="45">
        <v>1097815</v>
      </c>
      <c r="D43" s="35">
        <v>78680</v>
      </c>
      <c r="E43" s="36">
        <v>0.20416159592714742</v>
      </c>
      <c r="F43" s="37"/>
      <c r="G43" s="38"/>
      <c r="H43" s="35">
        <v>127575</v>
      </c>
      <c r="I43" s="36">
        <v>0.33103603965945388</v>
      </c>
      <c r="J43" s="35">
        <v>145045</v>
      </c>
      <c r="K43" s="36">
        <v>0.3763678022528355</v>
      </c>
      <c r="L43" s="35">
        <v>2602</v>
      </c>
      <c r="M43" s="36">
        <v>6.7517599466501979E-3</v>
      </c>
      <c r="N43" s="37"/>
      <c r="O43" s="38"/>
      <c r="P43" s="35">
        <v>4014</v>
      </c>
      <c r="Q43" s="36">
        <v>1.0415666574117561E-2</v>
      </c>
      <c r="R43" s="35">
        <v>1224</v>
      </c>
      <c r="S43" s="36">
        <v>3.1760776997309158E-3</v>
      </c>
      <c r="T43" s="35">
        <v>9343</v>
      </c>
      <c r="U43" s="36">
        <v>2.4243540807668256E-2</v>
      </c>
      <c r="V43" s="39">
        <v>385381</v>
      </c>
      <c r="W43" s="35">
        <v>16898</v>
      </c>
      <c r="X43" s="36">
        <v>4.3847517132396249E-2</v>
      </c>
      <c r="Y43" s="35" t="s">
        <v>30</v>
      </c>
      <c r="Z43" s="35">
        <v>147647</v>
      </c>
      <c r="AA43" s="36">
        <v>0.38311956219948573</v>
      </c>
      <c r="AC43" s="41">
        <f>MAX(D43,H43,Z43,R43,P43,T43)</f>
        <v>147647</v>
      </c>
      <c r="AD43" s="42">
        <f>MAX(E43,I43,AA43,S43,Q43,U43)</f>
        <v>0.38311956219948573</v>
      </c>
      <c r="AF43"/>
      <c r="AG43"/>
      <c r="AH43"/>
    </row>
    <row r="44" spans="1:34" s="21" customFormat="1">
      <c r="A44" s="32">
        <v>35</v>
      </c>
      <c r="B44" s="33" t="s">
        <v>58</v>
      </c>
      <c r="C44" s="34">
        <v>4859</v>
      </c>
      <c r="D44" s="35">
        <v>1541</v>
      </c>
      <c r="E44" s="36">
        <v>0.45203872103256088</v>
      </c>
      <c r="F44" s="37"/>
      <c r="G44" s="38"/>
      <c r="H44" s="35">
        <v>973</v>
      </c>
      <c r="I44" s="36">
        <v>0.28542094455852157</v>
      </c>
      <c r="J44" s="35">
        <v>751</v>
      </c>
      <c r="K44" s="36">
        <v>0.22029920797887945</v>
      </c>
      <c r="L44" s="35">
        <v>16</v>
      </c>
      <c r="M44" s="36">
        <v>4.6934584922264594E-3</v>
      </c>
      <c r="N44" s="37"/>
      <c r="O44" s="38"/>
      <c r="P44" s="35">
        <v>10</v>
      </c>
      <c r="Q44" s="36">
        <v>2.933411557641537E-3</v>
      </c>
      <c r="R44" s="35">
        <v>2</v>
      </c>
      <c r="S44" s="36">
        <v>5.8668231152830743E-4</v>
      </c>
      <c r="T44" s="35">
        <v>116</v>
      </c>
      <c r="U44" s="36">
        <v>3.4027574068641833E-2</v>
      </c>
      <c r="V44" s="39">
        <v>3409</v>
      </c>
      <c r="W44" s="35"/>
      <c r="X44" s="35"/>
      <c r="Y44" s="35" t="s">
        <v>28</v>
      </c>
      <c r="Z44" s="35">
        <v>26</v>
      </c>
      <c r="AA44" s="36">
        <v>7.6268700498679969E-3</v>
      </c>
      <c r="AC44" s="41">
        <f>MAX(D44,H44,J44,Z44,R44,T44)</f>
        <v>1541</v>
      </c>
      <c r="AD44" s="42">
        <f>MAX(E44,I44,K44,AA44,S44,U44)</f>
        <v>0.45203872103256088</v>
      </c>
      <c r="AF44"/>
      <c r="AG44"/>
      <c r="AH44"/>
    </row>
    <row r="45" spans="1:34" s="21" customFormat="1">
      <c r="A45" s="32">
        <v>36</v>
      </c>
      <c r="B45" s="33" t="s">
        <v>59</v>
      </c>
      <c r="C45" s="34">
        <v>37607</v>
      </c>
      <c r="D45" s="35">
        <v>6393</v>
      </c>
      <c r="E45" s="36">
        <v>0.36473071656777728</v>
      </c>
      <c r="F45" s="37"/>
      <c r="G45" s="38"/>
      <c r="H45" s="35">
        <v>7381</v>
      </c>
      <c r="I45" s="36">
        <v>0.42109767229575534</v>
      </c>
      <c r="J45" s="35">
        <v>1940</v>
      </c>
      <c r="K45" s="36">
        <v>0.11068005476951163</v>
      </c>
      <c r="L45" s="35">
        <v>128</v>
      </c>
      <c r="M45" s="36">
        <v>7.3026015518028297E-3</v>
      </c>
      <c r="N45" s="37"/>
      <c r="O45" s="38"/>
      <c r="P45" s="35">
        <v>347</v>
      </c>
      <c r="Q45" s="36">
        <v>1.9796896394340485E-2</v>
      </c>
      <c r="R45" s="35">
        <v>964</v>
      </c>
      <c r="S45" s="36">
        <v>5.4997717937015064E-2</v>
      </c>
      <c r="T45" s="35">
        <v>375</v>
      </c>
      <c r="U45" s="36">
        <v>2.1394340483797354E-2</v>
      </c>
      <c r="V45" s="39">
        <v>17528</v>
      </c>
      <c r="W45" s="35"/>
      <c r="X45" s="35"/>
      <c r="Y45" s="35"/>
      <c r="Z45" s="37"/>
      <c r="AA45" s="38"/>
      <c r="AC45" s="41">
        <f>MAX(D45,H45,J45,L45,R45,P45,T45)</f>
        <v>7381</v>
      </c>
      <c r="AD45" s="42">
        <f>MAX(E45,I45,K45,M45,S45,Q45,U45)</f>
        <v>0.42109767229575534</v>
      </c>
      <c r="AF45"/>
      <c r="AG45"/>
      <c r="AH45"/>
    </row>
    <row r="46" spans="1:34" s="21" customFormat="1">
      <c r="A46" s="32">
        <v>37</v>
      </c>
      <c r="B46" s="33" t="s">
        <v>60</v>
      </c>
      <c r="C46" s="34">
        <v>22822</v>
      </c>
      <c r="D46" s="35">
        <v>411</v>
      </c>
      <c r="E46" s="36">
        <v>3.0309734513274338E-2</v>
      </c>
      <c r="F46" s="37"/>
      <c r="G46" s="38"/>
      <c r="H46" s="35">
        <v>5879</v>
      </c>
      <c r="I46" s="36">
        <v>0.43355457227138644</v>
      </c>
      <c r="J46" s="35">
        <v>5491</v>
      </c>
      <c r="K46" s="36">
        <v>0.40494100294985252</v>
      </c>
      <c r="L46" s="35">
        <v>59</v>
      </c>
      <c r="M46" s="36">
        <v>4.3510324483775811E-3</v>
      </c>
      <c r="N46" s="37"/>
      <c r="O46" s="38"/>
      <c r="P46" s="35">
        <v>1373</v>
      </c>
      <c r="Q46" s="36">
        <v>0.10125368731563422</v>
      </c>
      <c r="R46" s="35">
        <v>10</v>
      </c>
      <c r="S46" s="36">
        <v>7.3746312684365781E-4</v>
      </c>
      <c r="T46" s="35">
        <v>337</v>
      </c>
      <c r="U46" s="36">
        <v>2.485250737463127E-2</v>
      </c>
      <c r="V46" s="39">
        <v>13560</v>
      </c>
      <c r="W46" s="35"/>
      <c r="X46" s="35"/>
      <c r="Y46" s="35"/>
      <c r="Z46" s="37"/>
      <c r="AA46" s="38"/>
      <c r="AC46" s="41">
        <f>MAX(D46,H46,J46,L46,R46,P46,T46)</f>
        <v>5879</v>
      </c>
      <c r="AD46" s="42">
        <f>MAX(E46,I46,K46,M46,S46,Q46,U46)</f>
        <v>0.43355457227138644</v>
      </c>
      <c r="AF46"/>
      <c r="AG46"/>
      <c r="AH46"/>
    </row>
    <row r="47" spans="1:34" s="21" customFormat="1">
      <c r="A47" s="32">
        <v>38</v>
      </c>
      <c r="B47" s="33" t="s">
        <v>169</v>
      </c>
      <c r="C47" s="34">
        <v>134216</v>
      </c>
      <c r="D47" s="35">
        <v>22798</v>
      </c>
      <c r="E47" s="36">
        <v>0.38427697338479949</v>
      </c>
      <c r="F47" s="37"/>
      <c r="G47" s="38"/>
      <c r="H47" s="35">
        <v>24343</v>
      </c>
      <c r="I47" s="36">
        <v>0.41031907900281489</v>
      </c>
      <c r="J47" s="35">
        <v>9673</v>
      </c>
      <c r="K47" s="36">
        <v>0.16304549362010551</v>
      </c>
      <c r="L47" s="35">
        <v>295</v>
      </c>
      <c r="M47" s="36">
        <v>4.9724408785207412E-3</v>
      </c>
      <c r="N47" s="37"/>
      <c r="O47" s="38"/>
      <c r="P47" s="35">
        <v>530</v>
      </c>
      <c r="Q47" s="36">
        <v>8.9335378495457377E-3</v>
      </c>
      <c r="R47" s="35">
        <v>45</v>
      </c>
      <c r="S47" s="36">
        <v>7.5850793062180798E-4</v>
      </c>
      <c r="T47" s="35">
        <v>1377</v>
      </c>
      <c r="U47" s="36">
        <v>2.3210342677027321E-2</v>
      </c>
      <c r="V47" s="39">
        <v>59327</v>
      </c>
      <c r="W47" s="35">
        <v>266</v>
      </c>
      <c r="X47" s="36">
        <v>4.4836246565644645E-3</v>
      </c>
      <c r="Y47" s="35" t="s">
        <v>30</v>
      </c>
      <c r="Z47" s="35">
        <v>9968</v>
      </c>
      <c r="AA47" s="36">
        <v>0.16801793449862626</v>
      </c>
      <c r="AC47" s="41">
        <f>MAX(D47,H47,Z47,R47,P47,T47)</f>
        <v>24343</v>
      </c>
      <c r="AD47" s="42">
        <f>MAX(E47,I47,AA47,S47,Q47,U47)</f>
        <v>0.41031907900281489</v>
      </c>
      <c r="AF47"/>
      <c r="AG47"/>
      <c r="AH47"/>
    </row>
    <row r="48" spans="1:34" s="21" customFormat="1">
      <c r="A48" s="32">
        <v>39</v>
      </c>
      <c r="B48" s="33" t="s">
        <v>61</v>
      </c>
      <c r="C48" s="34">
        <v>5341</v>
      </c>
      <c r="D48" s="35">
        <v>563</v>
      </c>
      <c r="E48" s="36">
        <v>0.15187483140005395</v>
      </c>
      <c r="F48" s="37"/>
      <c r="G48" s="38"/>
      <c r="H48" s="35">
        <v>938</v>
      </c>
      <c r="I48" s="36">
        <v>0.25303479902886433</v>
      </c>
      <c r="J48" s="35">
        <v>785</v>
      </c>
      <c r="K48" s="36">
        <v>0.2117615322363097</v>
      </c>
      <c r="L48" s="35">
        <v>763</v>
      </c>
      <c r="M48" s="36">
        <v>0.20582681413541948</v>
      </c>
      <c r="N48" s="37"/>
      <c r="O48" s="38"/>
      <c r="P48" s="35">
        <v>553</v>
      </c>
      <c r="Q48" s="36">
        <v>0.14917723226328566</v>
      </c>
      <c r="R48" s="35">
        <v>4</v>
      </c>
      <c r="S48" s="36">
        <v>1.0790396547073105E-3</v>
      </c>
      <c r="T48" s="35">
        <v>101</v>
      </c>
      <c r="U48" s="36">
        <v>2.724575128135959E-2</v>
      </c>
      <c r="V48" s="39">
        <v>3707</v>
      </c>
      <c r="W48" s="35"/>
      <c r="X48" s="35"/>
      <c r="Y48" s="35"/>
      <c r="Z48" s="37"/>
      <c r="AA48" s="38"/>
      <c r="AC48" s="41">
        <f>MAX(D48,H48,J48,L48,R48,P48,T48)</f>
        <v>938</v>
      </c>
      <c r="AD48" s="42">
        <f>MAX(E48,I48,K48,M48,S48,Q48,U48)</f>
        <v>0.25303479902886433</v>
      </c>
      <c r="AF48"/>
      <c r="AG48"/>
      <c r="AH48"/>
    </row>
    <row r="49" spans="1:34" s="21" customFormat="1">
      <c r="A49" s="32">
        <v>40</v>
      </c>
      <c r="B49" s="33" t="s">
        <v>62</v>
      </c>
      <c r="C49" s="34">
        <v>201789</v>
      </c>
      <c r="D49" s="35">
        <v>8714</v>
      </c>
      <c r="E49" s="36">
        <v>9.5247464148303609E-2</v>
      </c>
      <c r="F49" s="37"/>
      <c r="G49" s="38"/>
      <c r="H49" s="35">
        <v>30580</v>
      </c>
      <c r="I49" s="36">
        <v>0.33425148653375308</v>
      </c>
      <c r="J49" s="35">
        <v>46083</v>
      </c>
      <c r="K49" s="36">
        <v>0.50370540398740815</v>
      </c>
      <c r="L49" s="35">
        <v>1834</v>
      </c>
      <c r="M49" s="36">
        <v>2.0046344875830711E-2</v>
      </c>
      <c r="N49" s="37"/>
      <c r="O49" s="38"/>
      <c r="P49" s="35">
        <v>974</v>
      </c>
      <c r="Q49" s="36">
        <v>1.0646204966771598E-2</v>
      </c>
      <c r="R49" s="35">
        <v>97</v>
      </c>
      <c r="S49" s="36">
        <v>1.060248338579923E-3</v>
      </c>
      <c r="T49" s="35">
        <v>3206</v>
      </c>
      <c r="U49" s="36">
        <v>3.5042847149352921E-2</v>
      </c>
      <c r="V49" s="39">
        <v>91488</v>
      </c>
      <c r="W49" s="35"/>
      <c r="X49" s="35"/>
      <c r="Y49" s="35" t="s">
        <v>28</v>
      </c>
      <c r="Z49" s="35">
        <v>2808</v>
      </c>
      <c r="AA49" s="36">
        <v>3.0692549842602307E-2</v>
      </c>
      <c r="AC49" s="41">
        <f>MAX(D49,H49,J49,Z49,R49,T49)</f>
        <v>46083</v>
      </c>
      <c r="AD49" s="42">
        <f>MAX(E49,I49,K49,AA49,S49,U49)</f>
        <v>0.50370540398740815</v>
      </c>
      <c r="AF49"/>
      <c r="AG49"/>
      <c r="AH49"/>
    </row>
    <row r="50" spans="1:34" s="21" customFormat="1">
      <c r="A50" s="32">
        <v>41</v>
      </c>
      <c r="B50" s="33" t="s">
        <v>63</v>
      </c>
      <c r="C50" s="34">
        <v>18851</v>
      </c>
      <c r="D50" s="35">
        <v>1058</v>
      </c>
      <c r="E50" s="36">
        <v>0.11462621885157097</v>
      </c>
      <c r="F50" s="37"/>
      <c r="G50" s="38"/>
      <c r="H50" s="35">
        <v>6334</v>
      </c>
      <c r="I50" s="36">
        <v>0.68624052004333691</v>
      </c>
      <c r="J50" s="35">
        <v>1179</v>
      </c>
      <c r="K50" s="36">
        <v>0.12773564463705309</v>
      </c>
      <c r="L50" s="35">
        <v>122</v>
      </c>
      <c r="M50" s="36">
        <v>1.3217768147345613E-2</v>
      </c>
      <c r="N50" s="37"/>
      <c r="O50" s="38"/>
      <c r="P50" s="37"/>
      <c r="Q50" s="38"/>
      <c r="R50" s="35">
        <v>102</v>
      </c>
      <c r="S50" s="36">
        <v>1.105092091007584E-2</v>
      </c>
      <c r="T50" s="35">
        <v>435</v>
      </c>
      <c r="U50" s="36">
        <v>4.7128927410617555E-2</v>
      </c>
      <c r="V50" s="39">
        <v>9230</v>
      </c>
      <c r="W50" s="35"/>
      <c r="X50" s="35"/>
      <c r="Y50" s="35" t="s">
        <v>30</v>
      </c>
      <c r="Z50" s="35">
        <v>1301</v>
      </c>
      <c r="AA50" s="36">
        <v>0.14095341278439871</v>
      </c>
      <c r="AC50" s="41">
        <f>MAX(D50,H50,Z50,R50,P50,T50)</f>
        <v>6334</v>
      </c>
      <c r="AD50" s="42">
        <f>MAX(E50,I50,AA50,S50,Q50,U50)</f>
        <v>0.68624052004333691</v>
      </c>
      <c r="AF50"/>
      <c r="AG50"/>
      <c r="AH50"/>
    </row>
    <row r="51" spans="1:34" s="21" customFormat="1">
      <c r="A51" s="32">
        <v>42</v>
      </c>
      <c r="B51" s="33" t="s">
        <v>64</v>
      </c>
      <c r="C51" s="34">
        <v>3813</v>
      </c>
      <c r="D51" s="35">
        <v>560</v>
      </c>
      <c r="E51" s="36">
        <v>0.18887015177065766</v>
      </c>
      <c r="F51" s="37"/>
      <c r="G51" s="38"/>
      <c r="H51" s="35">
        <v>1143</v>
      </c>
      <c r="I51" s="36">
        <v>0.38549747048903876</v>
      </c>
      <c r="J51" s="35">
        <v>1174</v>
      </c>
      <c r="K51" s="36">
        <v>0.39595278246205734</v>
      </c>
      <c r="L51" s="35">
        <v>10</v>
      </c>
      <c r="M51" s="36">
        <v>3.3726812816188868E-3</v>
      </c>
      <c r="N51" s="37"/>
      <c r="O51" s="38"/>
      <c r="P51" s="37"/>
      <c r="Q51" s="38"/>
      <c r="R51" s="35">
        <v>3</v>
      </c>
      <c r="S51" s="36">
        <v>1.011804384485666E-3</v>
      </c>
      <c r="T51" s="35">
        <v>75</v>
      </c>
      <c r="U51" s="36">
        <v>2.5295109612141653E-2</v>
      </c>
      <c r="V51" s="39">
        <v>2965</v>
      </c>
      <c r="W51" s="35"/>
      <c r="X51" s="35"/>
      <c r="Y51" s="35"/>
      <c r="Z51" s="37"/>
      <c r="AA51" s="38"/>
      <c r="AC51" s="41">
        <f>MAX(D51,H51,J51,L51,R51,P51,T51)</f>
        <v>1174</v>
      </c>
      <c r="AD51" s="42">
        <f>MAX(E51,I51,K51,M51,S51,Q51,U51)</f>
        <v>0.39595278246205734</v>
      </c>
      <c r="AF51"/>
      <c r="AG51"/>
      <c r="AH51"/>
    </row>
    <row r="52" spans="1:34" s="21" customFormat="1">
      <c r="A52" s="32">
        <v>43</v>
      </c>
      <c r="B52" s="33" t="s">
        <v>65</v>
      </c>
      <c r="C52" s="34">
        <v>77472</v>
      </c>
      <c r="D52" s="35">
        <v>7745</v>
      </c>
      <c r="E52" s="36">
        <v>0.18688769847015105</v>
      </c>
      <c r="F52" s="37"/>
      <c r="G52" s="38"/>
      <c r="H52" s="35">
        <v>18166</v>
      </c>
      <c r="I52" s="36">
        <v>0.43834757009796826</v>
      </c>
      <c r="J52" s="35">
        <v>2400</v>
      </c>
      <c r="K52" s="36">
        <v>5.7912262921673667E-2</v>
      </c>
      <c r="L52" s="35">
        <v>380</v>
      </c>
      <c r="M52" s="36">
        <v>9.1694416292649964E-3</v>
      </c>
      <c r="N52" s="37"/>
      <c r="O52" s="38"/>
      <c r="P52" s="35">
        <v>10501</v>
      </c>
      <c r="Q52" s="36">
        <v>0.253390280391873</v>
      </c>
      <c r="R52" s="35">
        <v>55</v>
      </c>
      <c r="S52" s="36">
        <v>1.3271560252883549E-3</v>
      </c>
      <c r="T52" s="35">
        <v>2195</v>
      </c>
      <c r="U52" s="36">
        <v>5.2965590463780708E-2</v>
      </c>
      <c r="V52" s="39">
        <v>41442</v>
      </c>
      <c r="W52" s="35"/>
      <c r="X52" s="35"/>
      <c r="Y52" s="35" t="s">
        <v>34</v>
      </c>
      <c r="Z52" s="35">
        <v>13281</v>
      </c>
      <c r="AA52" s="36">
        <v>0.32047198494281165</v>
      </c>
      <c r="AC52" s="41">
        <f>MAX(D52,H52,R52,Z52,T52)</f>
        <v>18166</v>
      </c>
      <c r="AD52" s="42">
        <f>MAX(E52,I52,S52,AA52,U52)</f>
        <v>0.43834757009796826</v>
      </c>
      <c r="AF52"/>
      <c r="AG52"/>
      <c r="AH52"/>
    </row>
    <row r="53" spans="1:34" s="21" customFormat="1">
      <c r="A53" s="32">
        <v>44</v>
      </c>
      <c r="B53" s="33" t="s">
        <v>66</v>
      </c>
      <c r="C53" s="34">
        <v>12032</v>
      </c>
      <c r="D53" s="35">
        <v>756</v>
      </c>
      <c r="E53" s="36">
        <v>0.12654837629728824</v>
      </c>
      <c r="F53" s="37"/>
      <c r="G53" s="38"/>
      <c r="H53" s="35">
        <v>1331</v>
      </c>
      <c r="I53" s="36">
        <v>0.22279879477736861</v>
      </c>
      <c r="J53" s="35">
        <v>1633</v>
      </c>
      <c r="K53" s="36">
        <v>0.27335118848342821</v>
      </c>
      <c r="L53" s="35">
        <v>2034</v>
      </c>
      <c r="M53" s="36">
        <v>0.34047539337127553</v>
      </c>
      <c r="N53" s="37"/>
      <c r="O53" s="38"/>
      <c r="P53" s="35">
        <v>20</v>
      </c>
      <c r="Q53" s="36">
        <v>3.3478406427854034E-3</v>
      </c>
      <c r="R53" s="35">
        <v>3</v>
      </c>
      <c r="S53" s="36">
        <v>5.0217609641781049E-4</v>
      </c>
      <c r="T53" s="35">
        <v>197</v>
      </c>
      <c r="U53" s="36">
        <v>3.2976230331436221E-2</v>
      </c>
      <c r="V53" s="39">
        <v>5974</v>
      </c>
      <c r="W53" s="35"/>
      <c r="X53" s="35"/>
      <c r="Y53" s="35" t="s">
        <v>28</v>
      </c>
      <c r="Z53" s="35">
        <v>2054</v>
      </c>
      <c r="AA53" s="36">
        <v>0.34382323401406095</v>
      </c>
      <c r="AC53" s="41">
        <f>MAX(D53,H53,J53,Z53,R53,T53)</f>
        <v>2054</v>
      </c>
      <c r="AD53" s="42">
        <f>MAX(E53,I53,K53,AA53,S53,U53)</f>
        <v>0.34382323401406095</v>
      </c>
      <c r="AF53"/>
      <c r="AG53"/>
      <c r="AH53"/>
    </row>
    <row r="54" spans="1:34" s="21" customFormat="1">
      <c r="A54" s="32">
        <v>45</v>
      </c>
      <c r="B54" s="33" t="s">
        <v>67</v>
      </c>
      <c r="C54" s="34">
        <v>15568</v>
      </c>
      <c r="D54" s="35">
        <v>1660</v>
      </c>
      <c r="E54" s="36">
        <v>0.20713750935862241</v>
      </c>
      <c r="F54" s="37"/>
      <c r="G54" s="38"/>
      <c r="H54" s="35">
        <v>2195</v>
      </c>
      <c r="I54" s="36">
        <v>0.27389568255552782</v>
      </c>
      <c r="J54" s="35">
        <v>3629</v>
      </c>
      <c r="K54" s="36">
        <v>0.45283254304966308</v>
      </c>
      <c r="L54" s="35">
        <v>290</v>
      </c>
      <c r="M54" s="36">
        <v>3.6186673321687048E-2</v>
      </c>
      <c r="N54" s="37"/>
      <c r="O54" s="38"/>
      <c r="P54" s="35">
        <v>54</v>
      </c>
      <c r="Q54" s="36">
        <v>6.7382081357624159E-3</v>
      </c>
      <c r="R54" s="35">
        <v>6</v>
      </c>
      <c r="S54" s="36">
        <v>7.4868979286249059E-4</v>
      </c>
      <c r="T54" s="35">
        <v>180</v>
      </c>
      <c r="U54" s="36">
        <v>2.246069378587472E-2</v>
      </c>
      <c r="V54" s="39">
        <v>8014</v>
      </c>
      <c r="W54" s="35"/>
      <c r="X54" s="35"/>
      <c r="Y54" s="35" t="s">
        <v>50</v>
      </c>
      <c r="Z54" s="35">
        <v>3683</v>
      </c>
      <c r="AA54" s="36">
        <v>0.45957075118542551</v>
      </c>
      <c r="AC54" s="41">
        <f>MAX(D54,H54,L54,R54,Z54,T54)</f>
        <v>3683</v>
      </c>
      <c r="AD54" s="42">
        <f>MAX(E54,I54,M54,S54,AA54,U54)</f>
        <v>0.45957075118542551</v>
      </c>
      <c r="AF54"/>
      <c r="AG54"/>
      <c r="AH54"/>
    </row>
    <row r="55" spans="1:34" s="21" customFormat="1">
      <c r="A55" s="32">
        <v>46</v>
      </c>
      <c r="B55" s="33" t="s">
        <v>68</v>
      </c>
      <c r="C55" s="34">
        <v>44081</v>
      </c>
      <c r="D55" s="35">
        <v>4722</v>
      </c>
      <c r="E55" s="36">
        <v>0.16232940286706316</v>
      </c>
      <c r="F55" s="37"/>
      <c r="G55" s="38"/>
      <c r="H55" s="35">
        <v>10754</v>
      </c>
      <c r="I55" s="36">
        <v>0.36969301110385366</v>
      </c>
      <c r="J55" s="35">
        <v>12259</v>
      </c>
      <c r="K55" s="36">
        <v>0.42143078139502904</v>
      </c>
      <c r="L55" s="35">
        <v>362</v>
      </c>
      <c r="M55" s="36">
        <v>1.2444566674688027E-2</v>
      </c>
      <c r="N55" s="37"/>
      <c r="O55" s="38"/>
      <c r="P55" s="35">
        <v>80</v>
      </c>
      <c r="Q55" s="36">
        <v>2.750180480594039E-3</v>
      </c>
      <c r="R55" s="35">
        <v>18</v>
      </c>
      <c r="S55" s="36">
        <v>6.187906081336588E-4</v>
      </c>
      <c r="T55" s="35">
        <v>894</v>
      </c>
      <c r="U55" s="36">
        <v>3.0733266870638386E-2</v>
      </c>
      <c r="V55" s="39">
        <v>29089</v>
      </c>
      <c r="W55" s="35"/>
      <c r="X55" s="35"/>
      <c r="Y55" s="35" t="s">
        <v>28</v>
      </c>
      <c r="Z55" s="35">
        <v>442</v>
      </c>
      <c r="AA55" s="36">
        <v>1.5194747155282065E-2</v>
      </c>
      <c r="AC55" s="41">
        <f>MAX(D55,H55,J55,Z55,R55,T55)</f>
        <v>12259</v>
      </c>
      <c r="AD55" s="42">
        <f>MAX(E55,I55,K55,AA55,S55,U55)</f>
        <v>0.42143078139502904</v>
      </c>
      <c r="AF55"/>
      <c r="AG55"/>
      <c r="AH55"/>
    </row>
    <row r="56" spans="1:34" s="21" customFormat="1">
      <c r="A56" s="32">
        <v>47</v>
      </c>
      <c r="B56" s="33" t="s">
        <v>69</v>
      </c>
      <c r="C56" s="34">
        <v>9946</v>
      </c>
      <c r="D56" s="35">
        <v>1196</v>
      </c>
      <c r="E56" s="36">
        <v>0.17771173848439822</v>
      </c>
      <c r="F56" s="37"/>
      <c r="G56" s="38"/>
      <c r="H56" s="35">
        <v>1894</v>
      </c>
      <c r="I56" s="36">
        <v>0.28142644873699851</v>
      </c>
      <c r="J56" s="35">
        <v>3349</v>
      </c>
      <c r="K56" s="36">
        <v>0.49762258543833582</v>
      </c>
      <c r="L56" s="35">
        <v>96</v>
      </c>
      <c r="M56" s="36">
        <v>1.4264487369985141E-2</v>
      </c>
      <c r="N56" s="37"/>
      <c r="O56" s="38"/>
      <c r="P56" s="35">
        <v>48</v>
      </c>
      <c r="Q56" s="36">
        <v>7.1322436849925704E-3</v>
      </c>
      <c r="R56" s="35">
        <v>0</v>
      </c>
      <c r="S56" s="36">
        <v>0</v>
      </c>
      <c r="T56" s="35">
        <v>147</v>
      </c>
      <c r="U56" s="36">
        <v>2.1842496285289746E-2</v>
      </c>
      <c r="V56" s="39">
        <v>6730</v>
      </c>
      <c r="W56" s="35"/>
      <c r="X56" s="35"/>
      <c r="Y56" s="35"/>
      <c r="Z56" s="37"/>
      <c r="AA56" s="38"/>
      <c r="AC56" s="41">
        <f>MAX(D56,H56,J56,L56,R56,P56,T56)</f>
        <v>3349</v>
      </c>
      <c r="AD56" s="42">
        <f>MAX(E56,I56,K56,M56,S56,Q56,U56)</f>
        <v>0.49762258543833582</v>
      </c>
      <c r="AF56"/>
      <c r="AG56"/>
      <c r="AH56"/>
    </row>
    <row r="57" spans="1:34" s="21" customFormat="1">
      <c r="A57" s="32">
        <v>48</v>
      </c>
      <c r="B57" s="33" t="s">
        <v>70</v>
      </c>
      <c r="C57" s="34">
        <v>37393</v>
      </c>
      <c r="D57" s="35">
        <v>653</v>
      </c>
      <c r="E57" s="36">
        <v>2.9865081179967987E-2</v>
      </c>
      <c r="F57" s="37"/>
      <c r="G57" s="38"/>
      <c r="H57" s="35">
        <v>8860</v>
      </c>
      <c r="I57" s="36">
        <v>0.40521381202835582</v>
      </c>
      <c r="J57" s="35">
        <v>2961</v>
      </c>
      <c r="K57" s="36">
        <v>0.13542190715755775</v>
      </c>
      <c r="L57" s="35">
        <v>5950</v>
      </c>
      <c r="M57" s="36">
        <v>0.27212439972558883</v>
      </c>
      <c r="N57" s="37"/>
      <c r="O57" s="38"/>
      <c r="P57" s="35">
        <v>2208</v>
      </c>
      <c r="Q57" s="36">
        <v>0.10098330665447061</v>
      </c>
      <c r="R57" s="35">
        <v>19</v>
      </c>
      <c r="S57" s="36">
        <v>8.689686713926366E-4</v>
      </c>
      <c r="T57" s="35">
        <v>1214</v>
      </c>
      <c r="U57" s="36">
        <v>5.5522524582666363E-2</v>
      </c>
      <c r="V57" s="39">
        <v>21865</v>
      </c>
      <c r="W57" s="35"/>
      <c r="X57" s="35"/>
      <c r="Y57" s="35" t="s">
        <v>30</v>
      </c>
      <c r="Z57" s="35">
        <v>8911</v>
      </c>
      <c r="AA57" s="36">
        <v>0.40754630688314658</v>
      </c>
      <c r="AC57" s="41">
        <f>MAX(D57,H57,Z57,R57,P57,T57)</f>
        <v>8911</v>
      </c>
      <c r="AD57" s="42">
        <f>MAX(E57,I57,AA57,S57,Q57,U57)</f>
        <v>0.40754630688314658</v>
      </c>
      <c r="AF57"/>
      <c r="AG57"/>
      <c r="AH57"/>
    </row>
    <row r="58" spans="1:34" s="21" customFormat="1">
      <c r="A58" s="32">
        <v>49</v>
      </c>
      <c r="B58" s="33" t="s">
        <v>71</v>
      </c>
      <c r="C58" s="34">
        <v>34850</v>
      </c>
      <c r="D58" s="35">
        <v>3780</v>
      </c>
      <c r="E58" s="36">
        <v>0.18289142635958971</v>
      </c>
      <c r="F58" s="37"/>
      <c r="G58" s="38"/>
      <c r="H58" s="35">
        <v>8258</v>
      </c>
      <c r="I58" s="36">
        <v>0.39955486742790786</v>
      </c>
      <c r="J58" s="35">
        <v>4390</v>
      </c>
      <c r="K58" s="36">
        <v>0.21240565124830657</v>
      </c>
      <c r="L58" s="35">
        <v>549</v>
      </c>
      <c r="M58" s="36">
        <v>2.6562802399845171E-2</v>
      </c>
      <c r="N58" s="37"/>
      <c r="O58" s="38"/>
      <c r="P58" s="35">
        <v>2829</v>
      </c>
      <c r="Q58" s="36">
        <v>0.13687826591832786</v>
      </c>
      <c r="R58" s="35">
        <v>13</v>
      </c>
      <c r="S58" s="36">
        <v>6.2899167795626087E-4</v>
      </c>
      <c r="T58" s="35">
        <v>849</v>
      </c>
      <c r="U58" s="36">
        <v>4.1077994968066578E-2</v>
      </c>
      <c r="V58" s="39">
        <v>20668</v>
      </c>
      <c r="W58" s="35"/>
      <c r="X58" s="35"/>
      <c r="Y58" s="35"/>
      <c r="Z58" s="37"/>
      <c r="AA58" s="38"/>
      <c r="AC58" s="41">
        <f>MAX(D58,H58,J58,L58,R58,P58,T58)</f>
        <v>8258</v>
      </c>
      <c r="AD58" s="42">
        <f>MAX(E58,I58,K58,M58,S58,Q58,U58)</f>
        <v>0.39955486742790786</v>
      </c>
      <c r="AF58"/>
      <c r="AG58"/>
      <c r="AH58"/>
    </row>
    <row r="59" spans="1:34" s="21" customFormat="1">
      <c r="A59" s="32">
        <v>50</v>
      </c>
      <c r="B59" s="33" t="s">
        <v>72</v>
      </c>
      <c r="C59" s="34">
        <v>7399</v>
      </c>
      <c r="D59" s="35">
        <v>1626</v>
      </c>
      <c r="E59" s="36">
        <v>0.33251533742331291</v>
      </c>
      <c r="F59" s="37"/>
      <c r="G59" s="38"/>
      <c r="H59" s="35">
        <v>1871</v>
      </c>
      <c r="I59" s="36">
        <v>0.38261758691206543</v>
      </c>
      <c r="J59" s="35">
        <v>1233</v>
      </c>
      <c r="K59" s="36">
        <v>0.25214723926380367</v>
      </c>
      <c r="L59" s="35">
        <v>16</v>
      </c>
      <c r="M59" s="36">
        <v>3.2719836400817996E-3</v>
      </c>
      <c r="N59" s="37"/>
      <c r="O59" s="38"/>
      <c r="P59" s="35">
        <v>7</v>
      </c>
      <c r="Q59" s="36">
        <v>1.4314928425357874E-3</v>
      </c>
      <c r="R59" s="35">
        <v>1</v>
      </c>
      <c r="S59" s="36">
        <v>2.0449897750511248E-4</v>
      </c>
      <c r="T59" s="35">
        <v>136</v>
      </c>
      <c r="U59" s="36">
        <v>2.7811860940695297E-2</v>
      </c>
      <c r="V59" s="39">
        <v>4890</v>
      </c>
      <c r="W59" s="35"/>
      <c r="X59" s="35"/>
      <c r="Y59" s="35" t="s">
        <v>34</v>
      </c>
      <c r="Z59" s="35">
        <v>1256</v>
      </c>
      <c r="AA59" s="36">
        <v>0.25685071574642127</v>
      </c>
      <c r="AC59" s="41">
        <f>MAX(D59,H59,R59,Z59,T59)</f>
        <v>1871</v>
      </c>
      <c r="AD59" s="42">
        <f>MAX(E59,I59,S59,AA59,U59)</f>
        <v>0.38261758691206543</v>
      </c>
      <c r="AF59"/>
      <c r="AG59"/>
      <c r="AH59"/>
    </row>
    <row r="60" spans="1:34" s="21" customFormat="1">
      <c r="A60" s="32">
        <v>51</v>
      </c>
      <c r="B60" s="33" t="s">
        <v>73</v>
      </c>
      <c r="C60" s="34">
        <v>12907</v>
      </c>
      <c r="D60" s="35">
        <v>1572</v>
      </c>
      <c r="E60" s="36">
        <v>0.18652112007593735</v>
      </c>
      <c r="F60" s="37"/>
      <c r="G60" s="38"/>
      <c r="H60" s="35">
        <v>2839</v>
      </c>
      <c r="I60" s="36">
        <v>0.33685334598955863</v>
      </c>
      <c r="J60" s="35">
        <v>1865</v>
      </c>
      <c r="K60" s="36">
        <v>0.22128618889416232</v>
      </c>
      <c r="L60" s="35">
        <v>1798</v>
      </c>
      <c r="M60" s="36">
        <v>0.21333649738965355</v>
      </c>
      <c r="N60" s="37"/>
      <c r="O60" s="38"/>
      <c r="P60" s="35">
        <v>132</v>
      </c>
      <c r="Q60" s="36">
        <v>1.5662078785002372E-2</v>
      </c>
      <c r="R60" s="35">
        <v>11</v>
      </c>
      <c r="S60" s="36">
        <v>1.3051732320835312E-3</v>
      </c>
      <c r="T60" s="35">
        <v>211</v>
      </c>
      <c r="U60" s="36">
        <v>2.5035595633602279E-2</v>
      </c>
      <c r="V60" s="39">
        <v>8428</v>
      </c>
      <c r="W60" s="35"/>
      <c r="X60" s="35"/>
      <c r="Y60" s="35"/>
      <c r="Z60" s="37"/>
      <c r="AA60" s="38"/>
      <c r="AC60" s="41">
        <f>MAX(D60,H60,J60,L60,R60,P60,T60)</f>
        <v>2839</v>
      </c>
      <c r="AD60" s="42">
        <f>MAX(E60,I60,K60,M60,S60,Q60,U60)</f>
        <v>0.33685334598955863</v>
      </c>
      <c r="AF60"/>
      <c r="AG60"/>
      <c r="AH60"/>
    </row>
    <row r="61" spans="1:34" s="21" customFormat="1">
      <c r="A61" s="32">
        <v>52</v>
      </c>
      <c r="B61" s="33" t="s">
        <v>74</v>
      </c>
      <c r="C61" s="34">
        <v>65285</v>
      </c>
      <c r="D61" s="35">
        <v>9441</v>
      </c>
      <c r="E61" s="36">
        <v>0.24331220040204113</v>
      </c>
      <c r="F61" s="37"/>
      <c r="G61" s="38"/>
      <c r="H61" s="35">
        <v>12135</v>
      </c>
      <c r="I61" s="36">
        <v>0.31274161125715172</v>
      </c>
      <c r="J61" s="35">
        <v>10270</v>
      </c>
      <c r="K61" s="36">
        <v>0.26467707850110817</v>
      </c>
      <c r="L61" s="35">
        <v>810</v>
      </c>
      <c r="M61" s="36">
        <v>2.0875212617906293E-2</v>
      </c>
      <c r="N61" s="37"/>
      <c r="O61" s="38"/>
      <c r="P61" s="35">
        <v>5076</v>
      </c>
      <c r="Q61" s="36">
        <v>0.13081799907221278</v>
      </c>
      <c r="R61" s="35">
        <v>19</v>
      </c>
      <c r="S61" s="36">
        <v>4.896654811607649E-4</v>
      </c>
      <c r="T61" s="35">
        <v>1051</v>
      </c>
      <c r="U61" s="36">
        <v>2.7086232668419155E-2</v>
      </c>
      <c r="V61" s="39">
        <v>38802</v>
      </c>
      <c r="W61" s="35"/>
      <c r="X61" s="35"/>
      <c r="Y61" s="35" t="s">
        <v>28</v>
      </c>
      <c r="Z61" s="35">
        <v>5886</v>
      </c>
      <c r="AA61" s="36">
        <v>0.15169321169011907</v>
      </c>
      <c r="AC61" s="41">
        <f>MAX(D61,H61,J61,Z61,R61,T61)</f>
        <v>12135</v>
      </c>
      <c r="AD61" s="42">
        <f>MAX(E61,I61,K61,AA61,S61,U61)</f>
        <v>0.31274161125715172</v>
      </c>
      <c r="AF61"/>
      <c r="AG61"/>
      <c r="AH61"/>
    </row>
    <row r="62" spans="1:34" s="21" customFormat="1">
      <c r="A62" s="32">
        <v>53</v>
      </c>
      <c r="B62" s="33" t="s">
        <v>75</v>
      </c>
      <c r="C62" s="34">
        <v>14253</v>
      </c>
      <c r="D62" s="35">
        <v>2192</v>
      </c>
      <c r="E62" s="36">
        <v>0.25968487146072738</v>
      </c>
      <c r="F62" s="37"/>
      <c r="G62" s="38"/>
      <c r="H62" s="35">
        <v>3377</v>
      </c>
      <c r="I62" s="36">
        <v>0.40007108162539984</v>
      </c>
      <c r="J62" s="35">
        <v>1587</v>
      </c>
      <c r="K62" s="36">
        <v>0.18801089918256131</v>
      </c>
      <c r="L62" s="35">
        <v>991</v>
      </c>
      <c r="M62" s="36">
        <v>0.11740315128539272</v>
      </c>
      <c r="N62" s="37"/>
      <c r="O62" s="38"/>
      <c r="P62" s="35">
        <v>32</v>
      </c>
      <c r="Q62" s="36">
        <v>3.7910200213244877E-3</v>
      </c>
      <c r="R62" s="35">
        <v>4</v>
      </c>
      <c r="S62" s="36">
        <v>4.7387750266556097E-4</v>
      </c>
      <c r="T62" s="35">
        <v>258</v>
      </c>
      <c r="U62" s="36">
        <v>3.0565098921928682E-2</v>
      </c>
      <c r="V62" s="39">
        <v>8441</v>
      </c>
      <c r="W62" s="35"/>
      <c r="X62" s="35"/>
      <c r="Y62" s="35" t="s">
        <v>28</v>
      </c>
      <c r="Z62" s="35">
        <v>1023</v>
      </c>
      <c r="AA62" s="36">
        <v>0.12119417130671721</v>
      </c>
      <c r="AC62" s="41">
        <f>MAX(D62,H62,J62,Z62,R62,T62)</f>
        <v>3377</v>
      </c>
      <c r="AD62" s="42">
        <f>MAX(E62,I62,K62,AA62,S62,U62)</f>
        <v>0.40007108162539984</v>
      </c>
      <c r="AF62"/>
      <c r="AG62"/>
      <c r="AH62"/>
    </row>
    <row r="63" spans="1:34" s="21" customFormat="1">
      <c r="A63" s="32">
        <v>54</v>
      </c>
      <c r="B63" s="33" t="s">
        <v>76</v>
      </c>
      <c r="C63" s="34">
        <v>26882</v>
      </c>
      <c r="D63" s="35">
        <v>2076</v>
      </c>
      <c r="E63" s="36">
        <v>0.12571913038212318</v>
      </c>
      <c r="F63" s="37"/>
      <c r="G63" s="38"/>
      <c r="H63" s="35">
        <v>4120</v>
      </c>
      <c r="I63" s="36">
        <v>0.2495003936292618</v>
      </c>
      <c r="J63" s="35">
        <v>4393</v>
      </c>
      <c r="K63" s="36">
        <v>0.26603282262459882</v>
      </c>
      <c r="L63" s="35">
        <v>495</v>
      </c>
      <c r="M63" s="36">
        <v>2.9976382244292377E-2</v>
      </c>
      <c r="N63" s="37"/>
      <c r="O63" s="38"/>
      <c r="P63" s="35">
        <v>5001</v>
      </c>
      <c r="Q63" s="36">
        <v>0.30285229818930537</v>
      </c>
      <c r="R63" s="35">
        <v>7</v>
      </c>
      <c r="S63" s="36">
        <v>4.2390843577787198E-4</v>
      </c>
      <c r="T63" s="35">
        <v>421</v>
      </c>
      <c r="U63" s="36">
        <v>2.5495064494640587E-2</v>
      </c>
      <c r="V63" s="39">
        <v>16513</v>
      </c>
      <c r="W63" s="35"/>
      <c r="X63" s="35"/>
      <c r="Y63" s="35"/>
      <c r="Z63" s="37"/>
      <c r="AA63" s="38"/>
      <c r="AC63" s="41">
        <f>MAX(D63,H63,J63,L63,R63,P63,T63)</f>
        <v>5001</v>
      </c>
      <c r="AD63" s="42">
        <f>MAX(E63,I63,K63,M63,S63,Q63,U63)</f>
        <v>0.30285229818930537</v>
      </c>
      <c r="AF63"/>
      <c r="AG63"/>
      <c r="AH63"/>
    </row>
    <row r="64" spans="1:34" s="21" customFormat="1">
      <c r="A64" s="43">
        <v>55</v>
      </c>
      <c r="B64" s="44" t="s">
        <v>170</v>
      </c>
      <c r="C64" s="34">
        <v>134254</v>
      </c>
      <c r="D64" s="35">
        <v>23056</v>
      </c>
      <c r="E64" s="36">
        <v>0.31337157147905509</v>
      </c>
      <c r="F64" s="37"/>
      <c r="G64" s="38"/>
      <c r="H64" s="35">
        <v>22918</v>
      </c>
      <c r="I64" s="36">
        <v>0.31149590888085466</v>
      </c>
      <c r="J64" s="35">
        <v>10317</v>
      </c>
      <c r="K64" s="36">
        <v>0.1402261668524207</v>
      </c>
      <c r="L64" s="35">
        <v>13201</v>
      </c>
      <c r="M64" s="36">
        <v>0.17942479680321852</v>
      </c>
      <c r="N64" s="37"/>
      <c r="O64" s="38"/>
      <c r="P64" s="35">
        <v>1085</v>
      </c>
      <c r="Q64" s="36">
        <v>1.4747057384402098E-2</v>
      </c>
      <c r="R64" s="35">
        <v>79</v>
      </c>
      <c r="S64" s="36">
        <v>1.0737488786799684E-3</v>
      </c>
      <c r="T64" s="35">
        <v>1996</v>
      </c>
      <c r="U64" s="36">
        <v>2.7129148884116671E-2</v>
      </c>
      <c r="V64" s="39">
        <v>73574</v>
      </c>
      <c r="W64" s="35">
        <v>922</v>
      </c>
      <c r="X64" s="36">
        <v>1.253160083725229E-2</v>
      </c>
      <c r="Y64" s="35" t="s">
        <v>30</v>
      </c>
      <c r="Z64" s="35">
        <v>23518</v>
      </c>
      <c r="AA64" s="36">
        <v>0.31965096365563922</v>
      </c>
      <c r="AC64" s="41">
        <f>MAX(D64,H64,Z64,R64,P64,T64)</f>
        <v>23518</v>
      </c>
      <c r="AD64" s="42">
        <f>MAX(E64,I64,AA64,S64,Q64,U64)</f>
        <v>0.31965096365563922</v>
      </c>
      <c r="AF64"/>
      <c r="AG64"/>
      <c r="AH64"/>
    </row>
    <row r="65" spans="1:34" s="21" customFormat="1">
      <c r="A65" s="32">
        <v>56</v>
      </c>
      <c r="B65" s="33" t="s">
        <v>77</v>
      </c>
      <c r="C65" s="34">
        <v>6240</v>
      </c>
      <c r="D65" s="35">
        <v>422</v>
      </c>
      <c r="E65" s="36">
        <v>0.11709211986681466</v>
      </c>
      <c r="F65" s="37"/>
      <c r="G65" s="38"/>
      <c r="H65" s="35">
        <v>1236</v>
      </c>
      <c r="I65" s="36">
        <v>0.34295227524972255</v>
      </c>
      <c r="J65" s="35">
        <v>79</v>
      </c>
      <c r="K65" s="36">
        <v>2.1920088790233074E-2</v>
      </c>
      <c r="L65" s="35">
        <v>899</v>
      </c>
      <c r="M65" s="36">
        <v>0.24944506104328523</v>
      </c>
      <c r="N65" s="37"/>
      <c r="O65" s="38"/>
      <c r="P65" s="35">
        <v>866</v>
      </c>
      <c r="Q65" s="36">
        <v>0.24028856825749167</v>
      </c>
      <c r="R65" s="35">
        <v>7</v>
      </c>
      <c r="S65" s="36">
        <v>1.9422863485016649E-3</v>
      </c>
      <c r="T65" s="35">
        <v>95</v>
      </c>
      <c r="U65" s="36">
        <v>2.6359600443951164E-2</v>
      </c>
      <c r="V65" s="39">
        <v>3604</v>
      </c>
      <c r="W65" s="35"/>
      <c r="X65" s="35"/>
      <c r="Y65" s="35" t="s">
        <v>30</v>
      </c>
      <c r="Z65" s="35">
        <v>978</v>
      </c>
      <c r="AA65" s="36">
        <v>0.27136514983351834</v>
      </c>
      <c r="AC65" s="41">
        <f>MAX(D65,H65,Z65,R65,P65,T65)</f>
        <v>1236</v>
      </c>
      <c r="AD65" s="42">
        <f>MAX(E65,I65,AA65,S65,Q65,U65)</f>
        <v>0.34295227524972255</v>
      </c>
      <c r="AF65"/>
      <c r="AG65"/>
      <c r="AH65"/>
    </row>
    <row r="66" spans="1:34" s="21" customFormat="1">
      <c r="A66" s="32">
        <v>57</v>
      </c>
      <c r="B66" s="33" t="s">
        <v>78</v>
      </c>
      <c r="C66" s="34">
        <v>16157</v>
      </c>
      <c r="D66" s="35">
        <v>465</v>
      </c>
      <c r="E66" s="36">
        <v>4.7795251310514958E-2</v>
      </c>
      <c r="F66" s="37"/>
      <c r="G66" s="38"/>
      <c r="H66" s="35">
        <v>3437</v>
      </c>
      <c r="I66" s="36">
        <v>0.35327371775105354</v>
      </c>
      <c r="J66" s="35">
        <v>369</v>
      </c>
      <c r="K66" s="36">
        <v>3.7927844588344126E-2</v>
      </c>
      <c r="L66" s="35">
        <v>372</v>
      </c>
      <c r="M66" s="36">
        <v>3.8236201048411966E-2</v>
      </c>
      <c r="N66" s="37"/>
      <c r="O66" s="38"/>
      <c r="P66" s="35">
        <v>4597</v>
      </c>
      <c r="Q66" s="36">
        <v>0.47250488231061771</v>
      </c>
      <c r="R66" s="35">
        <v>15</v>
      </c>
      <c r="S66" s="36">
        <v>1.5417823003391921E-3</v>
      </c>
      <c r="T66" s="35">
        <v>474</v>
      </c>
      <c r="U66" s="36">
        <v>4.8720320690718473E-2</v>
      </c>
      <c r="V66" s="39">
        <v>9729</v>
      </c>
      <c r="W66" s="35"/>
      <c r="X66" s="35"/>
      <c r="Y66" s="35" t="s">
        <v>50</v>
      </c>
      <c r="Z66" s="35">
        <v>4966</v>
      </c>
      <c r="AA66" s="36">
        <v>0.51043272689896191</v>
      </c>
      <c r="AC66" s="41">
        <f>MAX(D66,H66,L66,R66,Z66,T66)</f>
        <v>4966</v>
      </c>
      <c r="AD66" s="42">
        <f>MAX(E66,I66,M66,S66,AA66,U66)</f>
        <v>0.51043272689896191</v>
      </c>
      <c r="AF66"/>
      <c r="AG66"/>
      <c r="AH66"/>
    </row>
    <row r="67" spans="1:34" s="21" customFormat="1">
      <c r="A67" s="43">
        <v>58</v>
      </c>
      <c r="B67" s="44" t="s">
        <v>171</v>
      </c>
      <c r="C67" s="45">
        <v>645093</v>
      </c>
      <c r="D67" s="35">
        <v>81397</v>
      </c>
      <c r="E67" s="36">
        <v>0.39331912693465537</v>
      </c>
      <c r="F67" s="37"/>
      <c r="G67" s="38"/>
      <c r="H67" s="35">
        <v>65840</v>
      </c>
      <c r="I67" s="36">
        <v>0.31814601665144554</v>
      </c>
      <c r="J67" s="35">
        <v>48003</v>
      </c>
      <c r="K67" s="36">
        <v>0.23195569923024514</v>
      </c>
      <c r="L67" s="35">
        <v>1914</v>
      </c>
      <c r="M67" s="36">
        <v>9.2486554658394102E-3</v>
      </c>
      <c r="N67" s="37"/>
      <c r="O67" s="38"/>
      <c r="P67" s="35">
        <v>1744</v>
      </c>
      <c r="Q67" s="36">
        <v>8.4271970388839768E-3</v>
      </c>
      <c r="R67" s="35">
        <v>229</v>
      </c>
      <c r="S67" s="36">
        <v>1.1065528221929075E-3</v>
      </c>
      <c r="T67" s="35">
        <v>5434</v>
      </c>
      <c r="U67" s="36">
        <v>2.6257677012210739E-2</v>
      </c>
      <c r="V67" s="39">
        <v>206949</v>
      </c>
      <c r="W67" s="35">
        <v>2388</v>
      </c>
      <c r="X67" s="36">
        <v>1.1539074844526912E-2</v>
      </c>
      <c r="Y67" s="35" t="s">
        <v>30</v>
      </c>
      <c r="Z67" s="35">
        <v>49917</v>
      </c>
      <c r="AA67" s="36">
        <v>0.24120435469608453</v>
      </c>
      <c r="AC67" s="41">
        <f>MAX(D67,H67,Z67,R67,P67,T67)</f>
        <v>81397</v>
      </c>
      <c r="AD67" s="42">
        <f>MAX(E67,I67,AA67,S67,Q67,U67)</f>
        <v>0.39331912693465537</v>
      </c>
      <c r="AF67"/>
      <c r="AG67"/>
      <c r="AH67"/>
    </row>
    <row r="68" spans="1:34" s="21" customFormat="1">
      <c r="A68" s="32">
        <v>59</v>
      </c>
      <c r="B68" s="33" t="s">
        <v>79</v>
      </c>
      <c r="C68" s="34">
        <v>12631</v>
      </c>
      <c r="D68" s="35">
        <v>502</v>
      </c>
      <c r="E68" s="36">
        <v>7.4680154715858371E-2</v>
      </c>
      <c r="F68" s="37"/>
      <c r="G68" s="38"/>
      <c r="H68" s="35">
        <v>1802</v>
      </c>
      <c r="I68" s="36">
        <v>0.26807497768521271</v>
      </c>
      <c r="J68" s="35">
        <v>1624</v>
      </c>
      <c r="K68" s="36">
        <v>0.24159476346325498</v>
      </c>
      <c r="L68" s="35">
        <v>1343</v>
      </c>
      <c r="M68" s="36">
        <v>0.19979172865218686</v>
      </c>
      <c r="N68" s="37"/>
      <c r="O68" s="38"/>
      <c r="P68" s="35">
        <v>1246</v>
      </c>
      <c r="Q68" s="36">
        <v>0.18536149955370426</v>
      </c>
      <c r="R68" s="35">
        <v>7</v>
      </c>
      <c r="S68" s="36">
        <v>1.0413567390657541E-3</v>
      </c>
      <c r="T68" s="35">
        <v>198</v>
      </c>
      <c r="U68" s="36">
        <v>2.9455519190717049E-2</v>
      </c>
      <c r="V68" s="39">
        <v>6722</v>
      </c>
      <c r="W68" s="35"/>
      <c r="X68" s="35"/>
      <c r="Y68" s="35"/>
      <c r="Z68" s="37"/>
      <c r="AA68" s="38"/>
      <c r="AC68" s="41">
        <f t="shared" ref="AC68:AD70" si="2">MAX(D68,H68,J68,L68,R68,P68,T68)</f>
        <v>1802</v>
      </c>
      <c r="AD68" s="42">
        <f t="shared" si="2"/>
        <v>0.26807497768521271</v>
      </c>
      <c r="AF68"/>
      <c r="AG68"/>
      <c r="AH68"/>
    </row>
    <row r="69" spans="1:34" s="21" customFormat="1">
      <c r="A69" s="32">
        <v>60</v>
      </c>
      <c r="B69" s="33" t="s">
        <v>80</v>
      </c>
      <c r="C69" s="34">
        <v>902031</v>
      </c>
      <c r="D69" s="35">
        <v>35997</v>
      </c>
      <c r="E69" s="36">
        <v>0.13340226358037044</v>
      </c>
      <c r="F69" s="37"/>
      <c r="G69" s="38"/>
      <c r="H69" s="35">
        <v>67411</v>
      </c>
      <c r="I69" s="36">
        <v>0.24982026252788711</v>
      </c>
      <c r="J69" s="35">
        <v>152014</v>
      </c>
      <c r="K69" s="36">
        <v>0.56335282651072127</v>
      </c>
      <c r="L69" s="35">
        <v>2613</v>
      </c>
      <c r="M69" s="36">
        <v>9.6835879305361E-3</v>
      </c>
      <c r="N69" s="37"/>
      <c r="O69" s="38"/>
      <c r="P69" s="35">
        <v>3725</v>
      </c>
      <c r="Q69" s="36">
        <v>1.380457904372253E-2</v>
      </c>
      <c r="R69" s="35">
        <v>416</v>
      </c>
      <c r="S69" s="36">
        <v>1.5416657401848516E-3</v>
      </c>
      <c r="T69" s="35">
        <v>7662</v>
      </c>
      <c r="U69" s="36">
        <v>2.8394814666577724E-2</v>
      </c>
      <c r="V69" s="39">
        <v>269838</v>
      </c>
      <c r="W69" s="35"/>
      <c r="X69" s="35"/>
      <c r="Y69" s="35"/>
      <c r="Z69" s="37"/>
      <c r="AA69" s="38"/>
      <c r="AC69" s="41">
        <f t="shared" si="2"/>
        <v>152014</v>
      </c>
      <c r="AD69" s="42">
        <f t="shared" si="2"/>
        <v>0.56335282651072127</v>
      </c>
      <c r="AF69"/>
      <c r="AG69"/>
      <c r="AH69"/>
    </row>
    <row r="70" spans="1:34" s="21" customFormat="1">
      <c r="A70" s="32">
        <v>61</v>
      </c>
      <c r="B70" s="33" t="s">
        <v>81</v>
      </c>
      <c r="C70" s="34">
        <v>200525</v>
      </c>
      <c r="D70" s="35">
        <v>26824</v>
      </c>
      <c r="E70" s="36">
        <v>0.31504275110401203</v>
      </c>
      <c r="F70" s="37"/>
      <c r="G70" s="38"/>
      <c r="H70" s="35">
        <v>37076</v>
      </c>
      <c r="I70" s="36">
        <v>0.43545053086535751</v>
      </c>
      <c r="J70" s="35">
        <v>17143</v>
      </c>
      <c r="K70" s="36">
        <v>0.20134125716433338</v>
      </c>
      <c r="L70" s="35">
        <v>0</v>
      </c>
      <c r="M70" s="36">
        <v>0</v>
      </c>
      <c r="N70" s="37"/>
      <c r="O70" s="38"/>
      <c r="P70" s="35">
        <v>1262</v>
      </c>
      <c r="Q70" s="36">
        <v>1.4821948698675185E-2</v>
      </c>
      <c r="R70" s="35">
        <v>716</v>
      </c>
      <c r="S70" s="36">
        <v>8.409283096871183E-3</v>
      </c>
      <c r="T70" s="35">
        <v>2123</v>
      </c>
      <c r="U70" s="36">
        <v>2.4934229070750727E-2</v>
      </c>
      <c r="V70" s="39">
        <v>85144</v>
      </c>
      <c r="W70" s="35"/>
      <c r="X70" s="35"/>
      <c r="Y70" s="35"/>
      <c r="Z70" s="37"/>
      <c r="AA70" s="38"/>
      <c r="AC70" s="41">
        <f t="shared" si="2"/>
        <v>37076</v>
      </c>
      <c r="AD70" s="42">
        <f t="shared" si="2"/>
        <v>0.43545053086535751</v>
      </c>
      <c r="AF70"/>
      <c r="AG70"/>
      <c r="AH70"/>
    </row>
    <row r="71" spans="1:34" s="21" customFormat="1">
      <c r="A71" s="32">
        <v>62</v>
      </c>
      <c r="B71" s="33" t="s">
        <v>82</v>
      </c>
      <c r="C71" s="34">
        <v>5257</v>
      </c>
      <c r="D71" s="35">
        <v>1789</v>
      </c>
      <c r="E71" s="36">
        <v>0.4555640437993379</v>
      </c>
      <c r="F71" s="37"/>
      <c r="G71" s="38"/>
      <c r="H71" s="35">
        <v>1223</v>
      </c>
      <c r="I71" s="36">
        <v>0.31143366437484082</v>
      </c>
      <c r="J71" s="35">
        <v>650</v>
      </c>
      <c r="K71" s="36">
        <v>0.16552075375604788</v>
      </c>
      <c r="L71" s="35">
        <v>132</v>
      </c>
      <c r="M71" s="36">
        <v>3.3613445378151259E-2</v>
      </c>
      <c r="N71" s="37"/>
      <c r="O71" s="38"/>
      <c r="P71" s="37"/>
      <c r="Q71" s="38"/>
      <c r="R71" s="35">
        <v>3</v>
      </c>
      <c r="S71" s="36">
        <v>7.6394194041252863E-4</v>
      </c>
      <c r="T71" s="35">
        <v>130</v>
      </c>
      <c r="U71" s="36">
        <v>3.3104150751209573E-2</v>
      </c>
      <c r="V71" s="39">
        <v>3927</v>
      </c>
      <c r="W71" s="35"/>
      <c r="X71" s="35"/>
      <c r="Y71" s="35" t="s">
        <v>30</v>
      </c>
      <c r="Z71" s="35">
        <v>782</v>
      </c>
      <c r="AA71" s="36">
        <v>0.19913419913419914</v>
      </c>
      <c r="AC71" s="41">
        <f>MAX(D71,H71,Z71,R71,P71,T71)</f>
        <v>1789</v>
      </c>
      <c r="AD71" s="42">
        <f>MAX(E71,I71,AA71,S71,Q71,U71)</f>
        <v>0.4555640437993379</v>
      </c>
      <c r="AF71"/>
      <c r="AG71"/>
      <c r="AH71"/>
    </row>
    <row r="72" spans="1:34" s="21" customFormat="1">
      <c r="A72" s="43">
        <v>63</v>
      </c>
      <c r="B72" s="44" t="s">
        <v>172</v>
      </c>
      <c r="C72" s="45">
        <v>33501</v>
      </c>
      <c r="D72" s="35">
        <v>1487</v>
      </c>
      <c r="E72" s="36">
        <v>6.8173482486704573E-2</v>
      </c>
      <c r="F72" s="35">
        <v>8926</v>
      </c>
      <c r="G72" s="36">
        <v>0.40922428021272694</v>
      </c>
      <c r="H72" s="37"/>
      <c r="I72" s="38"/>
      <c r="J72" s="35">
        <v>5982</v>
      </c>
      <c r="K72" s="36">
        <v>0.27425270493306436</v>
      </c>
      <c r="L72" s="35">
        <v>4852</v>
      </c>
      <c r="M72" s="36">
        <v>0.22244635980194388</v>
      </c>
      <c r="N72" s="35">
        <v>91</v>
      </c>
      <c r="O72" s="36">
        <v>4.1720154043645699E-3</v>
      </c>
      <c r="P72" s="35">
        <v>71</v>
      </c>
      <c r="Q72" s="36">
        <v>3.2550889418668624E-3</v>
      </c>
      <c r="R72" s="35">
        <v>4</v>
      </c>
      <c r="S72" s="36">
        <v>1.8338529249954154E-4</v>
      </c>
      <c r="T72" s="35">
        <v>399</v>
      </c>
      <c r="U72" s="36">
        <v>1.8292682926829267E-2</v>
      </c>
      <c r="V72" s="39">
        <v>21812</v>
      </c>
      <c r="W72" s="35"/>
      <c r="X72" s="36"/>
      <c r="Y72" s="35" t="s">
        <v>83</v>
      </c>
      <c r="Z72" s="37">
        <v>9017</v>
      </c>
      <c r="AA72" s="38">
        <v>0.41339629561709151</v>
      </c>
      <c r="AC72" s="41">
        <f>MAX(D72,Z72,J72,L72,R72,P72,T72)</f>
        <v>9017</v>
      </c>
      <c r="AD72" s="42">
        <f>MAX(E72,AA72,K72,M72,S72,Q72,U72)</f>
        <v>0.41339629561709151</v>
      </c>
      <c r="AF72"/>
      <c r="AG72"/>
      <c r="AH72"/>
    </row>
    <row r="73" spans="1:34" s="21" customFormat="1">
      <c r="A73" s="32">
        <v>64</v>
      </c>
      <c r="B73" s="33" t="s">
        <v>84</v>
      </c>
      <c r="C73" s="34">
        <v>15009</v>
      </c>
      <c r="D73" s="35">
        <v>199</v>
      </c>
      <c r="E73" s="36">
        <v>2.1167960855228166E-2</v>
      </c>
      <c r="F73" s="37"/>
      <c r="G73" s="38"/>
      <c r="H73" s="35">
        <v>3061</v>
      </c>
      <c r="I73" s="36">
        <v>0.32560365918519307</v>
      </c>
      <c r="J73" s="35">
        <v>5698</v>
      </c>
      <c r="K73" s="36">
        <v>0.60610573343261354</v>
      </c>
      <c r="L73" s="35">
        <v>72</v>
      </c>
      <c r="M73" s="36">
        <v>7.6587597064142112E-3</v>
      </c>
      <c r="N73" s="37"/>
      <c r="O73" s="38"/>
      <c r="P73" s="37"/>
      <c r="Q73" s="38"/>
      <c r="R73" s="35">
        <v>11</v>
      </c>
      <c r="S73" s="36">
        <v>1.170088288479949E-3</v>
      </c>
      <c r="T73" s="35">
        <v>360</v>
      </c>
      <c r="U73" s="36">
        <v>3.8293798532071058E-2</v>
      </c>
      <c r="V73" s="39">
        <v>9401</v>
      </c>
      <c r="W73" s="35"/>
      <c r="X73" s="35"/>
      <c r="Y73" s="35" t="s">
        <v>30</v>
      </c>
      <c r="Z73" s="35">
        <v>5770</v>
      </c>
      <c r="AA73" s="36">
        <v>0.61376449313902781</v>
      </c>
      <c r="AC73" s="41">
        <f>MAX(D73,H73,Z73,R73,P73,T73)</f>
        <v>5770</v>
      </c>
      <c r="AD73" s="42">
        <f>MAX(E73,I73,AA73,S73,Q73,U73)</f>
        <v>0.61376449313902781</v>
      </c>
      <c r="AF73"/>
      <c r="AG73"/>
      <c r="AH73"/>
    </row>
    <row r="74" spans="1:34" s="21" customFormat="1">
      <c r="A74" s="32">
        <v>65</v>
      </c>
      <c r="B74" s="33" t="s">
        <v>173</v>
      </c>
      <c r="C74" s="34">
        <v>18597</v>
      </c>
      <c r="D74" s="35">
        <v>3435</v>
      </c>
      <c r="E74" s="36">
        <v>0.30909745343291639</v>
      </c>
      <c r="F74" s="37"/>
      <c r="G74" s="38"/>
      <c r="H74" s="35">
        <v>3237</v>
      </c>
      <c r="I74" s="36">
        <v>0.29128048231800596</v>
      </c>
      <c r="J74" s="35">
        <v>1320</v>
      </c>
      <c r="K74" s="36">
        <v>0.11877980743273643</v>
      </c>
      <c r="L74" s="35">
        <v>182</v>
      </c>
      <c r="M74" s="36">
        <v>1.6377215873301539E-2</v>
      </c>
      <c r="N74" s="37"/>
      <c r="O74" s="38"/>
      <c r="P74" s="35">
        <v>2084</v>
      </c>
      <c r="Q74" s="36">
        <v>0.18752812021956267</v>
      </c>
      <c r="R74" s="35">
        <v>26</v>
      </c>
      <c r="S74" s="36">
        <v>2.3396022676145057E-3</v>
      </c>
      <c r="T74" s="35">
        <v>463</v>
      </c>
      <c r="U74" s="36">
        <v>4.1662917304058307E-2</v>
      </c>
      <c r="V74" s="39">
        <v>11113</v>
      </c>
      <c r="W74" s="35">
        <v>366</v>
      </c>
      <c r="X74" s="36">
        <v>3.2934401151804196E-2</v>
      </c>
      <c r="Y74" s="35"/>
      <c r="Z74" s="37"/>
      <c r="AA74" s="38"/>
      <c r="AC74" s="41">
        <f>MAX(D74,H74,J74,L74,R74,P74,T74)</f>
        <v>3435</v>
      </c>
      <c r="AD74" s="42">
        <f>MAX(E74,I74,K74,M74,S74,Q74,U74)</f>
        <v>0.30909745343291639</v>
      </c>
      <c r="AF74"/>
      <c r="AG74"/>
      <c r="AH74"/>
    </row>
    <row r="75" spans="1:34" s="21" customFormat="1">
      <c r="A75" s="32">
        <v>66</v>
      </c>
      <c r="B75" s="33" t="s">
        <v>85</v>
      </c>
      <c r="C75" s="34">
        <v>18485</v>
      </c>
      <c r="D75" s="35">
        <v>2116</v>
      </c>
      <c r="E75" s="36">
        <v>0.19735124044021637</v>
      </c>
      <c r="F75" s="37"/>
      <c r="G75" s="38"/>
      <c r="H75" s="35">
        <v>4159</v>
      </c>
      <c r="I75" s="36">
        <v>0.38789404961760865</v>
      </c>
      <c r="J75" s="35">
        <v>3429</v>
      </c>
      <c r="K75" s="36">
        <v>0.31980973698936765</v>
      </c>
      <c r="L75" s="35">
        <v>79</v>
      </c>
      <c r="M75" s="36">
        <v>7.3680283529192316E-3</v>
      </c>
      <c r="N75" s="37"/>
      <c r="O75" s="38"/>
      <c r="P75" s="35">
        <v>653</v>
      </c>
      <c r="Q75" s="36">
        <v>6.090281663868681E-2</v>
      </c>
      <c r="R75" s="35">
        <v>9</v>
      </c>
      <c r="S75" s="36">
        <v>8.3939563514269728E-4</v>
      </c>
      <c r="T75" s="35">
        <v>277</v>
      </c>
      <c r="U75" s="36">
        <v>2.5834732326058572E-2</v>
      </c>
      <c r="V75" s="39">
        <v>10722</v>
      </c>
      <c r="W75" s="35"/>
      <c r="X75" s="35"/>
      <c r="Y75" s="35" t="s">
        <v>28</v>
      </c>
      <c r="Z75" s="35">
        <v>732</v>
      </c>
      <c r="AA75" s="36">
        <v>6.8270844991606044E-2</v>
      </c>
      <c r="AC75" s="41">
        <f>MAX(D75,H75,J75,Z75,R75,T75)</f>
        <v>4159</v>
      </c>
      <c r="AD75" s="42">
        <f>MAX(E75,I75,K75,AA75,S75,U75)</f>
        <v>0.38789404961760865</v>
      </c>
      <c r="AF75"/>
      <c r="AG75"/>
      <c r="AH75"/>
    </row>
    <row r="76" spans="1:34" s="21" customFormat="1">
      <c r="A76" s="32">
        <v>67</v>
      </c>
      <c r="B76" s="33" t="s">
        <v>86</v>
      </c>
      <c r="C76" s="34">
        <v>3542</v>
      </c>
      <c r="D76" s="35">
        <v>199</v>
      </c>
      <c r="E76" s="36">
        <v>8.6446568201563864E-2</v>
      </c>
      <c r="F76" s="37"/>
      <c r="G76" s="38"/>
      <c r="H76" s="35">
        <v>967</v>
      </c>
      <c r="I76" s="36">
        <v>0.42006950477845351</v>
      </c>
      <c r="J76" s="35">
        <v>957</v>
      </c>
      <c r="K76" s="36">
        <v>0.41572545612510858</v>
      </c>
      <c r="L76" s="35">
        <v>122</v>
      </c>
      <c r="M76" s="36">
        <v>5.2997393570807995E-2</v>
      </c>
      <c r="N76" s="37"/>
      <c r="O76" s="38"/>
      <c r="P76" s="37"/>
      <c r="Q76" s="38"/>
      <c r="R76" s="35">
        <v>0</v>
      </c>
      <c r="S76" s="36">
        <v>0</v>
      </c>
      <c r="T76" s="35">
        <v>57</v>
      </c>
      <c r="U76" s="36">
        <v>2.476107732406603E-2</v>
      </c>
      <c r="V76" s="39">
        <v>2302</v>
      </c>
      <c r="W76" s="35"/>
      <c r="X76" s="35"/>
      <c r="Y76" s="35" t="s">
        <v>30</v>
      </c>
      <c r="Z76" s="35">
        <v>1079</v>
      </c>
      <c r="AA76" s="36">
        <v>0.4687228496959166</v>
      </c>
      <c r="AC76" s="41">
        <f>MAX(D76,H76,Z76,R76,P76,T76)</f>
        <v>1079</v>
      </c>
      <c r="AD76" s="42">
        <f>MAX(E76,I76,AA76,S76,Q76,U76)</f>
        <v>0.4687228496959166</v>
      </c>
      <c r="AF76"/>
      <c r="AG76"/>
      <c r="AH76"/>
    </row>
    <row r="77" spans="1:34" s="21" customFormat="1">
      <c r="A77" s="32">
        <v>68</v>
      </c>
      <c r="B77" s="33" t="s">
        <v>87</v>
      </c>
      <c r="C77" s="34">
        <v>36352</v>
      </c>
      <c r="D77" s="35">
        <v>5979</v>
      </c>
      <c r="E77" s="36">
        <v>0.29018637157833432</v>
      </c>
      <c r="F77" s="37"/>
      <c r="G77" s="38"/>
      <c r="H77" s="35">
        <v>4967</v>
      </c>
      <c r="I77" s="36">
        <v>0.24106969520481461</v>
      </c>
      <c r="J77" s="35">
        <v>2896</v>
      </c>
      <c r="K77" s="36">
        <v>0.14055523199378761</v>
      </c>
      <c r="L77" s="35">
        <v>4297</v>
      </c>
      <c r="M77" s="36">
        <v>0.20855173752669384</v>
      </c>
      <c r="N77" s="37"/>
      <c r="O77" s="38"/>
      <c r="P77" s="35">
        <v>1835</v>
      </c>
      <c r="Q77" s="36">
        <v>8.9060376625897886E-2</v>
      </c>
      <c r="R77" s="35">
        <v>16</v>
      </c>
      <c r="S77" s="36">
        <v>7.7654824305960007E-4</v>
      </c>
      <c r="T77" s="35">
        <v>614</v>
      </c>
      <c r="U77" s="36">
        <v>2.9800038827412154E-2</v>
      </c>
      <c r="V77" s="39">
        <v>20604</v>
      </c>
      <c r="W77" s="35"/>
      <c r="X77" s="35"/>
      <c r="Y77" s="35"/>
      <c r="Z77" s="37"/>
      <c r="AA77" s="38"/>
      <c r="AC77" s="41">
        <f t="shared" ref="AC77:AD79" si="3">MAX(D77,H77,J77,L77,R77,P77,T77)</f>
        <v>5979</v>
      </c>
      <c r="AD77" s="42">
        <f t="shared" si="3"/>
        <v>0.29018637157833432</v>
      </c>
      <c r="AF77"/>
      <c r="AG77"/>
      <c r="AH77"/>
    </row>
    <row r="78" spans="1:34" s="21" customFormat="1">
      <c r="A78" s="32">
        <v>69</v>
      </c>
      <c r="B78" s="33" t="s">
        <v>88</v>
      </c>
      <c r="C78" s="34">
        <v>15661</v>
      </c>
      <c r="D78" s="35">
        <v>1268</v>
      </c>
      <c r="E78" s="36">
        <v>0.14197738215205463</v>
      </c>
      <c r="F78" s="37"/>
      <c r="G78" s="38"/>
      <c r="H78" s="35">
        <v>2674</v>
      </c>
      <c r="I78" s="36">
        <v>0.29940656141529504</v>
      </c>
      <c r="J78" s="35">
        <v>1130</v>
      </c>
      <c r="K78" s="36">
        <v>0.12652558504086889</v>
      </c>
      <c r="L78" s="35">
        <v>3088</v>
      </c>
      <c r="M78" s="36">
        <v>0.3457619527488523</v>
      </c>
      <c r="N78" s="37"/>
      <c r="O78" s="38"/>
      <c r="P78" s="35">
        <v>537</v>
      </c>
      <c r="Q78" s="36">
        <v>6.0127645280483706E-2</v>
      </c>
      <c r="R78" s="35">
        <v>6</v>
      </c>
      <c r="S78" s="36">
        <v>6.7181726570372856E-4</v>
      </c>
      <c r="T78" s="35">
        <v>228</v>
      </c>
      <c r="U78" s="36">
        <v>2.5529056096741685E-2</v>
      </c>
      <c r="V78" s="39">
        <v>8931</v>
      </c>
      <c r="W78" s="35"/>
      <c r="X78" s="35"/>
      <c r="Y78" s="35"/>
      <c r="Z78" s="37"/>
      <c r="AA78" s="38"/>
      <c r="AC78" s="41">
        <f t="shared" si="3"/>
        <v>3088</v>
      </c>
      <c r="AD78" s="42">
        <f t="shared" si="3"/>
        <v>0.3457619527488523</v>
      </c>
      <c r="AF78"/>
      <c r="AG78"/>
      <c r="AH78"/>
    </row>
    <row r="79" spans="1:34" s="21" customFormat="1">
      <c r="A79" s="32">
        <v>70</v>
      </c>
      <c r="B79" s="33" t="s">
        <v>89</v>
      </c>
      <c r="C79" s="34">
        <v>2679</v>
      </c>
      <c r="D79" s="35">
        <v>910</v>
      </c>
      <c r="E79" s="36">
        <v>0.45477261369315342</v>
      </c>
      <c r="F79" s="37"/>
      <c r="G79" s="38"/>
      <c r="H79" s="35">
        <v>454</v>
      </c>
      <c r="I79" s="36">
        <v>0.22688655672163918</v>
      </c>
      <c r="J79" s="35">
        <v>248</v>
      </c>
      <c r="K79" s="36">
        <v>0.12393803098450774</v>
      </c>
      <c r="L79" s="35">
        <v>90</v>
      </c>
      <c r="M79" s="36">
        <v>4.4977511244377814E-2</v>
      </c>
      <c r="N79" s="37"/>
      <c r="O79" s="38"/>
      <c r="P79" s="35">
        <v>264</v>
      </c>
      <c r="Q79" s="36">
        <v>0.13193403298350825</v>
      </c>
      <c r="R79" s="35">
        <v>0</v>
      </c>
      <c r="S79" s="36">
        <v>0</v>
      </c>
      <c r="T79" s="35">
        <v>35</v>
      </c>
      <c r="U79" s="36">
        <v>1.7491254372813594E-2</v>
      </c>
      <c r="V79" s="39">
        <v>2001</v>
      </c>
      <c r="W79" s="35"/>
      <c r="X79" s="35"/>
      <c r="Y79" s="35"/>
      <c r="Z79" s="37"/>
      <c r="AA79" s="38"/>
      <c r="AC79" s="41">
        <f t="shared" si="3"/>
        <v>910</v>
      </c>
      <c r="AD79" s="42">
        <f t="shared" si="3"/>
        <v>0.45477261369315342</v>
      </c>
      <c r="AF79"/>
      <c r="AG79"/>
      <c r="AH79"/>
    </row>
    <row r="80" spans="1:34" s="21" customFormat="1">
      <c r="A80" s="32">
        <v>71</v>
      </c>
      <c r="B80" s="33" t="s">
        <v>174</v>
      </c>
      <c r="C80" s="34">
        <v>128326</v>
      </c>
      <c r="D80" s="35">
        <v>2877</v>
      </c>
      <c r="E80" s="36">
        <v>5.4787477148080438E-2</v>
      </c>
      <c r="F80" s="37"/>
      <c r="G80" s="38"/>
      <c r="H80" s="35">
        <v>19930</v>
      </c>
      <c r="I80" s="36">
        <v>0.37953229737964655</v>
      </c>
      <c r="J80" s="35">
        <v>25704</v>
      </c>
      <c r="K80" s="36">
        <v>0.48948811700182815</v>
      </c>
      <c r="L80" s="35">
        <v>1245</v>
      </c>
      <c r="M80" s="36">
        <v>2.3708866544789764E-2</v>
      </c>
      <c r="N80" s="37"/>
      <c r="O80" s="38"/>
      <c r="P80" s="35">
        <v>375</v>
      </c>
      <c r="Q80" s="36">
        <v>7.1412248628884827E-3</v>
      </c>
      <c r="R80" s="35">
        <v>52</v>
      </c>
      <c r="S80" s="36">
        <v>9.9024984765386953E-4</v>
      </c>
      <c r="T80" s="35">
        <v>1369</v>
      </c>
      <c r="U80" s="36">
        <v>2.6070231566118221E-2</v>
      </c>
      <c r="V80" s="39">
        <v>52512</v>
      </c>
      <c r="W80" s="35">
        <v>960</v>
      </c>
      <c r="X80" s="36">
        <v>1.8281535648994516E-2</v>
      </c>
      <c r="Y80" s="35" t="s">
        <v>28</v>
      </c>
      <c r="Z80" s="35">
        <v>1620</v>
      </c>
      <c r="AA80" s="36">
        <v>3.0850091407678245E-2</v>
      </c>
      <c r="AC80" s="41">
        <f>MAX(D80,H80,J80,Z80,R80,T80)</f>
        <v>25704</v>
      </c>
      <c r="AD80" s="42">
        <f>MAX(E80,I80,K80,AA80,S80,U80)</f>
        <v>0.48948811700182815</v>
      </c>
      <c r="AF80"/>
      <c r="AG80"/>
      <c r="AH80"/>
    </row>
    <row r="81" spans="1:38" s="21" customFormat="1">
      <c r="A81" s="32">
        <v>72</v>
      </c>
      <c r="B81" s="33" t="s">
        <v>90</v>
      </c>
      <c r="C81" s="34">
        <v>8600</v>
      </c>
      <c r="D81" s="35">
        <v>1345</v>
      </c>
      <c r="E81" s="36">
        <v>0.24557239364615666</v>
      </c>
      <c r="F81" s="37"/>
      <c r="G81" s="38"/>
      <c r="H81" s="35">
        <v>3281</v>
      </c>
      <c r="I81" s="36">
        <v>0.5990505751323717</v>
      </c>
      <c r="J81" s="35">
        <v>678</v>
      </c>
      <c r="K81" s="36">
        <v>0.12379039620230053</v>
      </c>
      <c r="L81" s="35">
        <v>30</v>
      </c>
      <c r="M81" s="36">
        <v>5.4774511593938284E-3</v>
      </c>
      <c r="N81" s="37"/>
      <c r="O81" s="38"/>
      <c r="P81" s="35">
        <v>29</v>
      </c>
      <c r="Q81" s="36">
        <v>5.2948694540807008E-3</v>
      </c>
      <c r="R81" s="35">
        <v>5</v>
      </c>
      <c r="S81" s="36">
        <v>9.1290852656563813E-4</v>
      </c>
      <c r="T81" s="35">
        <v>109</v>
      </c>
      <c r="U81" s="36">
        <v>1.9901405879130911E-2</v>
      </c>
      <c r="V81" s="39">
        <v>5477</v>
      </c>
      <c r="W81" s="35"/>
      <c r="X81" s="35"/>
      <c r="Y81" s="35" t="s">
        <v>28</v>
      </c>
      <c r="Z81" s="35">
        <v>59</v>
      </c>
      <c r="AA81" s="36">
        <v>1.077232061347453E-2</v>
      </c>
      <c r="AC81" s="41">
        <f>MAX(D81,H81,J81,Z81,R81,T81)</f>
        <v>3281</v>
      </c>
      <c r="AD81" s="42">
        <f>MAX(E81,I81,K81,AA81,S81,U81)</f>
        <v>0.5990505751323717</v>
      </c>
      <c r="AF81"/>
      <c r="AG81"/>
      <c r="AH81"/>
    </row>
    <row r="82" spans="1:38" s="21" customFormat="1">
      <c r="A82" s="32">
        <v>73</v>
      </c>
      <c r="B82" s="33" t="s">
        <v>91</v>
      </c>
      <c r="C82" s="34">
        <v>6110</v>
      </c>
      <c r="D82" s="35">
        <v>231</v>
      </c>
      <c r="E82" s="36">
        <v>5.5276381909547742E-2</v>
      </c>
      <c r="F82" s="37"/>
      <c r="G82" s="38"/>
      <c r="H82" s="35">
        <v>1194</v>
      </c>
      <c r="I82" s="36">
        <v>0.2857142857142857</v>
      </c>
      <c r="J82" s="35">
        <v>472</v>
      </c>
      <c r="K82" s="36">
        <v>0.11294568078487677</v>
      </c>
      <c r="L82" s="35">
        <v>688</v>
      </c>
      <c r="M82" s="36">
        <v>0.16463268724575258</v>
      </c>
      <c r="N82" s="37"/>
      <c r="O82" s="38"/>
      <c r="P82" s="35">
        <v>1515</v>
      </c>
      <c r="Q82" s="36">
        <v>0.36252692031586503</v>
      </c>
      <c r="R82" s="35">
        <v>2</v>
      </c>
      <c r="S82" s="36">
        <v>4.7858339315625748E-4</v>
      </c>
      <c r="T82" s="35">
        <v>77</v>
      </c>
      <c r="U82" s="36">
        <v>1.8425460636515914E-2</v>
      </c>
      <c r="V82" s="39">
        <v>4179</v>
      </c>
      <c r="W82" s="35"/>
      <c r="X82" s="35"/>
      <c r="Y82" s="35"/>
      <c r="Z82" s="37"/>
      <c r="AA82" s="38"/>
      <c r="AC82" s="41">
        <f>MAX(D82,H82,J82,L82,R82,P82,T82)</f>
        <v>1515</v>
      </c>
      <c r="AD82" s="42">
        <f>MAX(E82,I82,K82,M82,S82,Q82,U82)</f>
        <v>0.36252692031586503</v>
      </c>
      <c r="AF82"/>
      <c r="AG82"/>
      <c r="AH82"/>
    </row>
    <row r="83" spans="1:38" s="21" customFormat="1">
      <c r="A83" s="43">
        <v>74</v>
      </c>
      <c r="B83" s="44" t="s">
        <v>92</v>
      </c>
      <c r="C83" s="34">
        <v>7077</v>
      </c>
      <c r="D83" s="35">
        <v>1820</v>
      </c>
      <c r="E83" s="36">
        <v>0.37861452049095068</v>
      </c>
      <c r="F83" s="37"/>
      <c r="G83" s="38"/>
      <c r="H83" s="35">
        <v>1301</v>
      </c>
      <c r="I83" s="36">
        <v>0.27064697316413566</v>
      </c>
      <c r="J83" s="35">
        <v>203</v>
      </c>
      <c r="K83" s="36">
        <v>4.2230081131682966E-2</v>
      </c>
      <c r="L83" s="35">
        <v>739</v>
      </c>
      <c r="M83" s="36">
        <v>0.15373413771583108</v>
      </c>
      <c r="N83" s="37"/>
      <c r="O83" s="38"/>
      <c r="P83" s="35">
        <v>492</v>
      </c>
      <c r="Q83" s="36">
        <v>0.10235073850634491</v>
      </c>
      <c r="R83" s="35">
        <v>28</v>
      </c>
      <c r="S83" s="36">
        <v>5.8248387767838566E-3</v>
      </c>
      <c r="T83" s="35">
        <v>224</v>
      </c>
      <c r="U83" s="36">
        <v>4.6598710214270853E-2</v>
      </c>
      <c r="V83" s="39">
        <v>4807</v>
      </c>
      <c r="W83" s="35"/>
      <c r="X83" s="35"/>
      <c r="Y83" s="35"/>
      <c r="Z83" s="37"/>
      <c r="AA83" s="38"/>
      <c r="AC83" s="41">
        <f>MAX(D83,H83,J83,L83,R83,P83,T83)</f>
        <v>1820</v>
      </c>
      <c r="AD83" s="42">
        <f>MAX(E83,I83,K83,M83,S83,Q83,U83)</f>
        <v>0.37861452049095068</v>
      </c>
      <c r="AF83"/>
      <c r="AG83"/>
      <c r="AH83"/>
    </row>
    <row r="84" spans="1:38" s="21" customFormat="1">
      <c r="A84" s="32">
        <v>75</v>
      </c>
      <c r="B84" s="33" t="s">
        <v>93</v>
      </c>
      <c r="C84" s="34">
        <v>58233</v>
      </c>
      <c r="D84" s="35">
        <v>7600</v>
      </c>
      <c r="E84" s="36">
        <v>0.21662913661887523</v>
      </c>
      <c r="F84" s="37"/>
      <c r="G84" s="38"/>
      <c r="H84" s="35">
        <v>12960</v>
      </c>
      <c r="I84" s="36">
        <v>0.36940968560271359</v>
      </c>
      <c r="J84" s="35">
        <v>11429</v>
      </c>
      <c r="K84" s="36">
        <v>0.32577031610751644</v>
      </c>
      <c r="L84" s="35">
        <v>358</v>
      </c>
      <c r="M84" s="36">
        <v>1.0204372488099649E-2</v>
      </c>
      <c r="N84" s="37"/>
      <c r="O84" s="38"/>
      <c r="P84" s="35">
        <v>211</v>
      </c>
      <c r="Q84" s="36">
        <v>6.0143089245503524E-3</v>
      </c>
      <c r="R84" s="35">
        <v>73</v>
      </c>
      <c r="S84" s="36">
        <v>2.0807798648918279E-3</v>
      </c>
      <c r="T84" s="35">
        <v>2452</v>
      </c>
      <c r="U84" s="36">
        <v>6.9891400393352912E-2</v>
      </c>
      <c r="V84" s="39">
        <v>35083</v>
      </c>
      <c r="W84" s="35"/>
      <c r="X84" s="35"/>
      <c r="Y84" s="35" t="s">
        <v>50</v>
      </c>
      <c r="Z84" s="35">
        <v>11640</v>
      </c>
      <c r="AA84" s="36">
        <v>0.33178462503206679</v>
      </c>
      <c r="AC84" s="41">
        <f>MAX(D84,H84,L84,R84,Z84,T84)</f>
        <v>12960</v>
      </c>
      <c r="AD84" s="42">
        <f>MAX(E84,I84,M84,S84,AA84,U84)</f>
        <v>0.36940968560271359</v>
      </c>
      <c r="AF84"/>
      <c r="AG84"/>
      <c r="AH84"/>
    </row>
    <row r="85" spans="1:38" s="21" customFormat="1">
      <c r="A85" s="32">
        <v>76</v>
      </c>
      <c r="B85" s="33" t="s">
        <v>94</v>
      </c>
      <c r="C85" s="34">
        <v>13076</v>
      </c>
      <c r="D85" s="35">
        <v>2645</v>
      </c>
      <c r="E85" s="36">
        <v>0.31424498039681598</v>
      </c>
      <c r="F85" s="37"/>
      <c r="G85" s="38"/>
      <c r="H85" s="35">
        <v>1197</v>
      </c>
      <c r="I85" s="36">
        <v>0.14221218961625282</v>
      </c>
      <c r="J85" s="35">
        <v>2867</v>
      </c>
      <c r="K85" s="36">
        <v>0.34062017345847689</v>
      </c>
      <c r="L85" s="35">
        <v>59</v>
      </c>
      <c r="M85" s="36">
        <v>7.0096233812522273E-3</v>
      </c>
      <c r="N85" s="37"/>
      <c r="O85" s="38"/>
      <c r="P85" s="35">
        <v>1443</v>
      </c>
      <c r="Q85" s="36">
        <v>0.17143875490079602</v>
      </c>
      <c r="R85" s="35">
        <v>5</v>
      </c>
      <c r="S85" s="36">
        <v>5.9403587976713797E-4</v>
      </c>
      <c r="T85" s="35">
        <v>201</v>
      </c>
      <c r="U85" s="36">
        <v>2.3880242366638944E-2</v>
      </c>
      <c r="V85" s="39">
        <v>8417</v>
      </c>
      <c r="W85" s="35"/>
      <c r="X85" s="35"/>
      <c r="Y85" s="35" t="s">
        <v>28</v>
      </c>
      <c r="Z85" s="35">
        <v>1502</v>
      </c>
      <c r="AA85" s="36">
        <v>0.17844837828204824</v>
      </c>
      <c r="AC85" s="41">
        <f>MAX(D85,H85,J85,Z85,R85,T85)</f>
        <v>2867</v>
      </c>
      <c r="AD85" s="42">
        <f>MAX(E85,I85,K85,AA85,S85,U85)</f>
        <v>0.34062017345847689</v>
      </c>
      <c r="AF85"/>
      <c r="AG85"/>
      <c r="AH85"/>
      <c r="AI85" s="48"/>
      <c r="AJ85" s="48"/>
      <c r="AK85" s="48"/>
      <c r="AL85" s="48"/>
    </row>
    <row r="86" spans="1:38" s="21" customFormat="1">
      <c r="A86" s="32">
        <v>77</v>
      </c>
      <c r="B86" s="33" t="s">
        <v>95</v>
      </c>
      <c r="C86" s="34">
        <v>42713</v>
      </c>
      <c r="D86" s="35">
        <v>7377</v>
      </c>
      <c r="E86" s="36">
        <v>0.30363022719789268</v>
      </c>
      <c r="F86" s="37"/>
      <c r="G86" s="38"/>
      <c r="H86" s="35">
        <v>7602</v>
      </c>
      <c r="I86" s="36">
        <v>0.3128910108659862</v>
      </c>
      <c r="J86" s="35">
        <v>5953</v>
      </c>
      <c r="K86" s="36">
        <v>0.24501975633849193</v>
      </c>
      <c r="L86" s="35">
        <v>1093</v>
      </c>
      <c r="M86" s="36">
        <v>4.4986829107672044E-2</v>
      </c>
      <c r="N86" s="37"/>
      <c r="O86" s="38"/>
      <c r="P86" s="35">
        <v>1617</v>
      </c>
      <c r="Q86" s="36">
        <v>6.6554165294698722E-2</v>
      </c>
      <c r="R86" s="35">
        <v>23</v>
      </c>
      <c r="S86" s="36">
        <v>9.4665788607178132E-4</v>
      </c>
      <c r="T86" s="35">
        <v>631</v>
      </c>
      <c r="U86" s="36">
        <v>2.5971353309186696E-2</v>
      </c>
      <c r="V86" s="39">
        <v>24296</v>
      </c>
      <c r="W86" s="35"/>
      <c r="X86" s="35"/>
      <c r="Y86" s="35"/>
      <c r="Z86" s="37"/>
      <c r="AA86" s="38"/>
      <c r="AC86" s="41">
        <f>MAX(D86,H86,J86,L86,R86,P86,T86)</f>
        <v>7602</v>
      </c>
      <c r="AD86" s="42">
        <f>MAX(E86,I86,K86,M86,S86,Q86,U86)</f>
        <v>0.3128910108659862</v>
      </c>
      <c r="AF86"/>
      <c r="AG86"/>
      <c r="AH86"/>
    </row>
    <row r="87" spans="1:38" s="21" customFormat="1">
      <c r="A87" s="32">
        <v>78</v>
      </c>
      <c r="B87" s="33" t="s">
        <v>96</v>
      </c>
      <c r="C87" s="34">
        <v>3398</v>
      </c>
      <c r="D87" s="35">
        <v>215</v>
      </c>
      <c r="E87" s="36">
        <v>8.5828343313373259E-2</v>
      </c>
      <c r="F87" s="37"/>
      <c r="G87" s="38"/>
      <c r="H87" s="35">
        <v>1239</v>
      </c>
      <c r="I87" s="36">
        <v>0.4946107784431138</v>
      </c>
      <c r="J87" s="35">
        <v>924</v>
      </c>
      <c r="K87" s="36">
        <v>0.36886227544910177</v>
      </c>
      <c r="L87" s="35">
        <v>61</v>
      </c>
      <c r="M87" s="36">
        <v>2.4351297405189622E-2</v>
      </c>
      <c r="N87" s="37"/>
      <c r="O87" s="38"/>
      <c r="P87" s="37"/>
      <c r="Q87" s="38"/>
      <c r="R87" s="35">
        <v>0</v>
      </c>
      <c r="S87" s="36">
        <v>0</v>
      </c>
      <c r="T87" s="35">
        <v>66</v>
      </c>
      <c r="U87" s="36">
        <v>2.6347305389221556E-2</v>
      </c>
      <c r="V87" s="39">
        <v>2505</v>
      </c>
      <c r="W87" s="35"/>
      <c r="X87" s="35"/>
      <c r="Y87" s="35" t="s">
        <v>30</v>
      </c>
      <c r="Z87" s="35">
        <v>985</v>
      </c>
      <c r="AA87" s="36">
        <v>0.39321357285429143</v>
      </c>
      <c r="AC87" s="41">
        <f>MAX(D87,H87,Z87,R87,P87,T87)</f>
        <v>1239</v>
      </c>
      <c r="AD87" s="42">
        <f>MAX(E87,I87,AA87,S87,Q87,U87)</f>
        <v>0.4946107784431138</v>
      </c>
      <c r="AF87"/>
      <c r="AG87"/>
      <c r="AH87"/>
    </row>
    <row r="88" spans="1:38" s="21" customFormat="1">
      <c r="A88" s="32">
        <v>79</v>
      </c>
      <c r="B88" s="33" t="s">
        <v>97</v>
      </c>
      <c r="C88" s="34">
        <v>5617</v>
      </c>
      <c r="D88" s="35">
        <v>281</v>
      </c>
      <c r="E88" s="36">
        <v>7.232947232947233E-2</v>
      </c>
      <c r="F88" s="37"/>
      <c r="G88" s="38"/>
      <c r="H88" s="35">
        <v>1283</v>
      </c>
      <c r="I88" s="36">
        <v>0.33024453024453027</v>
      </c>
      <c r="J88" s="35">
        <v>2169</v>
      </c>
      <c r="K88" s="36">
        <v>0.55830115830115834</v>
      </c>
      <c r="L88" s="35">
        <v>85</v>
      </c>
      <c r="M88" s="36">
        <v>2.1879021879021878E-2</v>
      </c>
      <c r="N88" s="37"/>
      <c r="O88" s="38"/>
      <c r="P88" s="37"/>
      <c r="Q88" s="38"/>
      <c r="R88" s="35">
        <v>2</v>
      </c>
      <c r="S88" s="36">
        <v>5.1480051480051476E-4</v>
      </c>
      <c r="T88" s="35">
        <v>65</v>
      </c>
      <c r="U88" s="36">
        <v>1.6731016731016731E-2</v>
      </c>
      <c r="V88" s="39">
        <v>3885</v>
      </c>
      <c r="W88" s="35"/>
      <c r="X88" s="35"/>
      <c r="Y88" s="35"/>
      <c r="Z88" s="37"/>
      <c r="AA88" s="38"/>
      <c r="AC88" s="41">
        <f>MAX(D88,H88,J88,L88,R88,P88,T88)</f>
        <v>2169</v>
      </c>
      <c r="AD88" s="42">
        <f>MAX(E88,I88,K88,M88,S88,Q88,U88)</f>
        <v>0.55830115830115834</v>
      </c>
      <c r="AF88"/>
      <c r="AG88"/>
      <c r="AH88"/>
    </row>
    <row r="89" spans="1:38" s="21" customFormat="1">
      <c r="A89" s="32">
        <v>80</v>
      </c>
      <c r="B89" s="33" t="s">
        <v>98</v>
      </c>
      <c r="C89" s="34">
        <v>6814</v>
      </c>
      <c r="D89" s="35">
        <v>2891</v>
      </c>
      <c r="E89" s="36">
        <v>0.55510752688172038</v>
      </c>
      <c r="F89" s="37"/>
      <c r="G89" s="38"/>
      <c r="H89" s="35">
        <v>1960</v>
      </c>
      <c r="I89" s="36">
        <v>0.37634408602150538</v>
      </c>
      <c r="J89" s="35">
        <v>243</v>
      </c>
      <c r="K89" s="36">
        <v>4.6658986175115207E-2</v>
      </c>
      <c r="L89" s="35">
        <v>8</v>
      </c>
      <c r="M89" s="36">
        <v>1.5360983102918587E-3</v>
      </c>
      <c r="N89" s="37"/>
      <c r="O89" s="38"/>
      <c r="P89" s="35">
        <v>2</v>
      </c>
      <c r="Q89" s="36">
        <v>3.8402457757296467E-4</v>
      </c>
      <c r="R89" s="35">
        <v>3</v>
      </c>
      <c r="S89" s="36">
        <v>5.76036866359447E-4</v>
      </c>
      <c r="T89" s="35">
        <v>101</v>
      </c>
      <c r="U89" s="36">
        <v>1.9393241167434717E-2</v>
      </c>
      <c r="V89" s="39">
        <v>5208</v>
      </c>
      <c r="W89" s="35"/>
      <c r="X89" s="35"/>
      <c r="Y89" s="35" t="s">
        <v>28</v>
      </c>
      <c r="Z89" s="35">
        <v>10</v>
      </c>
      <c r="AA89" s="36">
        <v>1.9201228878648233E-3</v>
      </c>
      <c r="AC89" s="41">
        <f>MAX(D89,H89,J89,Z89,R89,T89)</f>
        <v>2891</v>
      </c>
      <c r="AD89" s="42">
        <f>MAX(E89,I89,K89,AA89,S89,U89)</f>
        <v>0.55510752688172038</v>
      </c>
      <c r="AF89"/>
      <c r="AG89"/>
      <c r="AH89"/>
    </row>
    <row r="90" spans="1:38" s="21" customFormat="1">
      <c r="A90" s="32">
        <v>81</v>
      </c>
      <c r="B90" s="33" t="s">
        <v>99</v>
      </c>
      <c r="C90" s="34">
        <v>15505</v>
      </c>
      <c r="D90" s="35">
        <v>2403</v>
      </c>
      <c r="E90" s="36">
        <v>0.25049515271552175</v>
      </c>
      <c r="F90" s="37"/>
      <c r="G90" s="38"/>
      <c r="H90" s="35">
        <v>3741</v>
      </c>
      <c r="I90" s="36">
        <v>0.38997185447722299</v>
      </c>
      <c r="J90" s="35">
        <v>3030</v>
      </c>
      <c r="K90" s="36">
        <v>0.3158553111643907</v>
      </c>
      <c r="L90" s="35">
        <v>46</v>
      </c>
      <c r="M90" s="36">
        <v>4.7951631397894299E-3</v>
      </c>
      <c r="N90" s="37"/>
      <c r="O90" s="38"/>
      <c r="P90" s="35">
        <v>9</v>
      </c>
      <c r="Q90" s="36">
        <v>9.3818409256749718E-4</v>
      </c>
      <c r="R90" s="35">
        <v>3</v>
      </c>
      <c r="S90" s="36">
        <v>3.1272803085583239E-4</v>
      </c>
      <c r="T90" s="35">
        <v>361</v>
      </c>
      <c r="U90" s="36">
        <v>3.7631606379651829E-2</v>
      </c>
      <c r="V90" s="39">
        <v>9593</v>
      </c>
      <c r="W90" s="35"/>
      <c r="X90" s="35"/>
      <c r="Y90" s="35" t="s">
        <v>28</v>
      </c>
      <c r="Z90" s="35">
        <v>55</v>
      </c>
      <c r="AA90" s="36">
        <v>5.7333472323569269E-3</v>
      </c>
      <c r="AC90" s="41">
        <f>MAX(D90,H90,J90,Z90,R90,T90)</f>
        <v>3741</v>
      </c>
      <c r="AD90" s="42">
        <f>MAX(E90,I90,K90,AA90,S90,U90)</f>
        <v>0.38997185447722299</v>
      </c>
      <c r="AF90"/>
      <c r="AG90"/>
      <c r="AH90"/>
    </row>
    <row r="91" spans="1:38" s="21" customFormat="1">
      <c r="A91" s="32">
        <v>82</v>
      </c>
      <c r="B91" s="33" t="s">
        <v>175</v>
      </c>
      <c r="C91" s="34">
        <v>134910</v>
      </c>
      <c r="D91" s="35">
        <v>28642</v>
      </c>
      <c r="E91" s="36">
        <v>0.39356922019924423</v>
      </c>
      <c r="F91" s="37"/>
      <c r="G91" s="38"/>
      <c r="H91" s="35">
        <v>27761</v>
      </c>
      <c r="I91" s="36">
        <v>0.38146341463414635</v>
      </c>
      <c r="J91" s="35">
        <v>10507</v>
      </c>
      <c r="K91" s="36">
        <v>0.14437650291995877</v>
      </c>
      <c r="L91" s="35">
        <v>503</v>
      </c>
      <c r="M91" s="36">
        <v>6.9117141875644113E-3</v>
      </c>
      <c r="N91" s="37"/>
      <c r="O91" s="38"/>
      <c r="P91" s="35">
        <v>3365</v>
      </c>
      <c r="Q91" s="36">
        <v>4.6238406046032292E-2</v>
      </c>
      <c r="R91" s="35">
        <v>73</v>
      </c>
      <c r="S91" s="36">
        <v>1.0030917210580557E-3</v>
      </c>
      <c r="T91" s="35">
        <v>1682</v>
      </c>
      <c r="U91" s="36">
        <v>2.3112332531776022E-2</v>
      </c>
      <c r="V91" s="39">
        <v>72775</v>
      </c>
      <c r="W91" s="35">
        <v>242</v>
      </c>
      <c r="X91" s="36">
        <v>3.3253177602198558E-3</v>
      </c>
      <c r="Y91" s="35"/>
      <c r="Z91" s="37"/>
      <c r="AA91" s="38"/>
      <c r="AC91" s="41">
        <f t="shared" ref="AC91:AD94" si="4">MAX(D91,H91,J91,L91,R91,P91,T91)</f>
        <v>28642</v>
      </c>
      <c r="AD91" s="42">
        <f t="shared" si="4"/>
        <v>0.39356922019924423</v>
      </c>
      <c r="AF91"/>
      <c r="AG91"/>
      <c r="AH91"/>
    </row>
    <row r="92" spans="1:38" s="21" customFormat="1">
      <c r="A92" s="32">
        <v>83</v>
      </c>
      <c r="B92" s="33" t="s">
        <v>176</v>
      </c>
      <c r="C92" s="34">
        <v>42810</v>
      </c>
      <c r="D92" s="35">
        <v>2171</v>
      </c>
      <c r="E92" s="36">
        <v>9.029655201098033E-2</v>
      </c>
      <c r="F92" s="37"/>
      <c r="G92" s="38"/>
      <c r="H92" s="35">
        <v>10534</v>
      </c>
      <c r="I92" s="36">
        <v>0.43813168073867653</v>
      </c>
      <c r="J92" s="35">
        <v>8907</v>
      </c>
      <c r="K92" s="36">
        <v>0.3704612569146945</v>
      </c>
      <c r="L92" s="35">
        <v>283</v>
      </c>
      <c r="M92" s="36">
        <v>1.1770577714927422E-2</v>
      </c>
      <c r="N92" s="37"/>
      <c r="O92" s="38"/>
      <c r="P92" s="35">
        <v>62</v>
      </c>
      <c r="Q92" s="36">
        <v>2.5787131389593647E-3</v>
      </c>
      <c r="R92" s="35">
        <v>4</v>
      </c>
      <c r="S92" s="36">
        <v>1.6636858961028157E-4</v>
      </c>
      <c r="T92" s="35">
        <v>804</v>
      </c>
      <c r="U92" s="36">
        <v>3.3440086511666599E-2</v>
      </c>
      <c r="V92" s="39">
        <v>24043</v>
      </c>
      <c r="W92" s="35">
        <v>1278</v>
      </c>
      <c r="X92" s="36">
        <v>5.3154764380484963E-2</v>
      </c>
      <c r="Y92" s="35"/>
      <c r="Z92" s="37"/>
      <c r="AA92" s="38"/>
      <c r="AC92" s="41">
        <f t="shared" si="4"/>
        <v>10534</v>
      </c>
      <c r="AD92" s="42">
        <f t="shared" si="4"/>
        <v>0.43813168073867653</v>
      </c>
      <c r="AF92"/>
      <c r="AG92"/>
      <c r="AH92"/>
    </row>
    <row r="93" spans="1:38" s="21" customFormat="1">
      <c r="A93" s="32">
        <v>84</v>
      </c>
      <c r="B93" s="33" t="s">
        <v>100</v>
      </c>
      <c r="C93" s="34">
        <v>6724</v>
      </c>
      <c r="D93" s="35">
        <v>646</v>
      </c>
      <c r="E93" s="36">
        <v>0.16928721174004194</v>
      </c>
      <c r="F93" s="37"/>
      <c r="G93" s="38"/>
      <c r="H93" s="35">
        <v>1136</v>
      </c>
      <c r="I93" s="36">
        <v>0.2976939203354298</v>
      </c>
      <c r="J93" s="35">
        <v>629</v>
      </c>
      <c r="K93" s="36">
        <v>0.16483228511530398</v>
      </c>
      <c r="L93" s="35">
        <v>442</v>
      </c>
      <c r="M93" s="36">
        <v>0.11582809224318659</v>
      </c>
      <c r="N93" s="37"/>
      <c r="O93" s="38"/>
      <c r="P93" s="35">
        <v>823</v>
      </c>
      <c r="Q93" s="36">
        <v>0.21567085953878407</v>
      </c>
      <c r="R93" s="35">
        <v>49</v>
      </c>
      <c r="S93" s="36">
        <v>1.2840670859538784E-2</v>
      </c>
      <c r="T93" s="35">
        <v>91</v>
      </c>
      <c r="U93" s="36">
        <v>2.3846960167714884E-2</v>
      </c>
      <c r="V93" s="39">
        <v>3816</v>
      </c>
      <c r="W93" s="35"/>
      <c r="X93" s="35"/>
      <c r="Y93" s="35"/>
      <c r="Z93" s="37"/>
      <c r="AA93" s="38"/>
      <c r="AC93" s="41">
        <f t="shared" si="4"/>
        <v>1136</v>
      </c>
      <c r="AD93" s="42">
        <f t="shared" si="4"/>
        <v>0.2976939203354298</v>
      </c>
      <c r="AF93"/>
      <c r="AG93"/>
      <c r="AH93"/>
    </row>
    <row r="94" spans="1:38" s="21" customFormat="1">
      <c r="A94" s="32">
        <v>85</v>
      </c>
      <c r="B94" s="33" t="s">
        <v>101</v>
      </c>
      <c r="C94" s="34">
        <v>18530</v>
      </c>
      <c r="D94" s="35">
        <v>4605</v>
      </c>
      <c r="E94" s="36">
        <v>0.38282483997007233</v>
      </c>
      <c r="F94" s="37"/>
      <c r="G94" s="38"/>
      <c r="H94" s="35">
        <v>3271</v>
      </c>
      <c r="I94" s="36">
        <v>0.27192617840219468</v>
      </c>
      <c r="J94" s="35">
        <v>3843</v>
      </c>
      <c r="K94" s="36">
        <v>0.3194779283398454</v>
      </c>
      <c r="L94" s="35">
        <v>55</v>
      </c>
      <c r="M94" s="36">
        <v>4.5722836478510271E-3</v>
      </c>
      <c r="N94" s="37"/>
      <c r="O94" s="38"/>
      <c r="P94" s="37"/>
      <c r="Q94" s="38"/>
      <c r="R94" s="35">
        <v>6</v>
      </c>
      <c r="S94" s="36">
        <v>4.987945797655665E-4</v>
      </c>
      <c r="T94" s="35">
        <v>249</v>
      </c>
      <c r="U94" s="36">
        <v>2.0699975060271013E-2</v>
      </c>
      <c r="V94" s="39">
        <v>12029</v>
      </c>
      <c r="W94" s="35"/>
      <c r="X94" s="35"/>
      <c r="Y94" s="35"/>
      <c r="Z94" s="37"/>
      <c r="AA94" s="38"/>
      <c r="AC94" s="41">
        <f t="shared" si="4"/>
        <v>4605</v>
      </c>
      <c r="AD94" s="42">
        <f t="shared" si="4"/>
        <v>0.38282483997007233</v>
      </c>
      <c r="AF94"/>
      <c r="AG94"/>
      <c r="AH94"/>
    </row>
    <row r="95" spans="1:38" s="21" customFormat="1">
      <c r="A95" s="32">
        <v>86</v>
      </c>
      <c r="B95" s="33" t="s">
        <v>102</v>
      </c>
      <c r="C95" s="34">
        <v>38310</v>
      </c>
      <c r="D95" s="35">
        <v>1741</v>
      </c>
      <c r="E95" s="36">
        <v>7.7626181558765828E-2</v>
      </c>
      <c r="F95" s="37"/>
      <c r="G95" s="38"/>
      <c r="H95" s="35">
        <v>6503</v>
      </c>
      <c r="I95" s="36">
        <v>0.28995006242197252</v>
      </c>
      <c r="J95" s="35">
        <v>10485</v>
      </c>
      <c r="K95" s="36">
        <v>0.4674959871589085</v>
      </c>
      <c r="L95" s="35">
        <v>196</v>
      </c>
      <c r="M95" s="36">
        <v>8.7390761548064924E-3</v>
      </c>
      <c r="N95" s="37"/>
      <c r="O95" s="38"/>
      <c r="P95" s="35">
        <v>2529</v>
      </c>
      <c r="Q95" s="36">
        <v>0.11276083467094702</v>
      </c>
      <c r="R95" s="35">
        <v>29</v>
      </c>
      <c r="S95" s="36">
        <v>1.2930265739254504E-3</v>
      </c>
      <c r="T95" s="35">
        <v>945</v>
      </c>
      <c r="U95" s="36">
        <v>4.2134831460674156E-2</v>
      </c>
      <c r="V95" s="39">
        <v>22428</v>
      </c>
      <c r="W95" s="35"/>
      <c r="X95" s="35"/>
      <c r="Y95" s="35" t="s">
        <v>103</v>
      </c>
      <c r="Z95" s="35">
        <v>12422</v>
      </c>
      <c r="AA95" s="36">
        <v>0.55386124487248078</v>
      </c>
      <c r="AC95" s="41">
        <f>MAX(H95,Z95,R95,P95,T95)</f>
        <v>12422</v>
      </c>
      <c r="AD95" s="42">
        <f>MAX(I95,AA95,S95,Q95,U95)</f>
        <v>0.55386124487248078</v>
      </c>
      <c r="AF95"/>
      <c r="AG95"/>
      <c r="AH95"/>
    </row>
    <row r="96" spans="1:38" s="21" customFormat="1">
      <c r="A96" s="32">
        <v>87</v>
      </c>
      <c r="B96" s="33" t="s">
        <v>104</v>
      </c>
      <c r="C96" s="34">
        <v>17807</v>
      </c>
      <c r="D96" s="35">
        <v>3546</v>
      </c>
      <c r="E96" s="36">
        <v>0.33601819387851795</v>
      </c>
      <c r="F96" s="37"/>
      <c r="G96" s="38"/>
      <c r="H96" s="35">
        <v>4746</v>
      </c>
      <c r="I96" s="36">
        <v>0.44972993461574906</v>
      </c>
      <c r="J96" s="35">
        <v>1179</v>
      </c>
      <c r="K96" s="36">
        <v>0.11172178527432958</v>
      </c>
      <c r="L96" s="35">
        <v>721</v>
      </c>
      <c r="M96" s="36">
        <v>6.8321804226286365E-2</v>
      </c>
      <c r="N96" s="37"/>
      <c r="O96" s="38"/>
      <c r="P96" s="37"/>
      <c r="Q96" s="38"/>
      <c r="R96" s="35">
        <v>9</v>
      </c>
      <c r="S96" s="36">
        <v>8.5283805552923342E-4</v>
      </c>
      <c r="T96" s="35">
        <v>352</v>
      </c>
      <c r="U96" s="36">
        <v>3.3355443949587796E-2</v>
      </c>
      <c r="V96" s="39">
        <v>10553</v>
      </c>
      <c r="W96" s="35"/>
      <c r="X96" s="35"/>
      <c r="Y96" s="35"/>
      <c r="Z96" s="37"/>
      <c r="AA96" s="38"/>
      <c r="AC96" s="41">
        <f>MAX(D96,H96,J96,L96,R96,P96,T96)</f>
        <v>4746</v>
      </c>
      <c r="AD96" s="42">
        <f>MAX(E96,I96,K96,M96,S96,Q96,U96)</f>
        <v>0.44972993461574906</v>
      </c>
      <c r="AF96"/>
      <c r="AG96"/>
      <c r="AH96"/>
    </row>
    <row r="97" spans="1:34" s="21" customFormat="1">
      <c r="A97" s="32">
        <v>88</v>
      </c>
      <c r="B97" s="33" t="s">
        <v>105</v>
      </c>
      <c r="C97" s="34">
        <v>42207</v>
      </c>
      <c r="D97" s="35">
        <v>4205</v>
      </c>
      <c r="E97" s="36">
        <v>0.17780126849894293</v>
      </c>
      <c r="F97" s="37"/>
      <c r="G97" s="38"/>
      <c r="H97" s="35">
        <v>6792</v>
      </c>
      <c r="I97" s="36">
        <v>0.28718816067653274</v>
      </c>
      <c r="J97" s="35">
        <v>4686</v>
      </c>
      <c r="K97" s="36">
        <v>0.19813953488372094</v>
      </c>
      <c r="L97" s="35">
        <v>388</v>
      </c>
      <c r="M97" s="36">
        <v>1.6405919661733614E-2</v>
      </c>
      <c r="N97" s="37"/>
      <c r="O97" s="38"/>
      <c r="P97" s="35">
        <v>6275</v>
      </c>
      <c r="Q97" s="36">
        <v>0.26532769556025371</v>
      </c>
      <c r="R97" s="35">
        <v>38</v>
      </c>
      <c r="S97" s="36">
        <v>1.6067653276955602E-3</v>
      </c>
      <c r="T97" s="35">
        <v>1266</v>
      </c>
      <c r="U97" s="36">
        <v>5.3530655391120507E-2</v>
      </c>
      <c r="V97" s="39">
        <v>23650</v>
      </c>
      <c r="W97" s="35"/>
      <c r="X97" s="35"/>
      <c r="Y97" s="35" t="s">
        <v>106</v>
      </c>
      <c r="Z97" s="35">
        <v>8891</v>
      </c>
      <c r="AA97" s="36">
        <v>0.37594080338266384</v>
      </c>
      <c r="AC97" s="41">
        <f>MAX(H97,Z97,L97,R97,P97,T97)</f>
        <v>8891</v>
      </c>
      <c r="AD97" s="42">
        <f>MAX(I97,AA97,M97,S97,Q97,U97)</f>
        <v>0.37594080338266384</v>
      </c>
      <c r="AF97"/>
      <c r="AG97"/>
      <c r="AH97"/>
    </row>
    <row r="98" spans="1:34" s="21" customFormat="1">
      <c r="A98" s="32">
        <v>89</v>
      </c>
      <c r="B98" s="33" t="s">
        <v>107</v>
      </c>
      <c r="C98" s="34">
        <v>51834</v>
      </c>
      <c r="D98" s="35">
        <v>6018</v>
      </c>
      <c r="E98" s="36">
        <v>0.26622428666224285</v>
      </c>
      <c r="F98" s="37"/>
      <c r="G98" s="38"/>
      <c r="H98" s="35">
        <v>6724</v>
      </c>
      <c r="I98" s="36">
        <v>0.29745631497456315</v>
      </c>
      <c r="J98" s="35">
        <v>7225</v>
      </c>
      <c r="K98" s="36">
        <v>0.3196195531961955</v>
      </c>
      <c r="L98" s="35">
        <v>1527</v>
      </c>
      <c r="M98" s="36">
        <v>6.7551426675514267E-2</v>
      </c>
      <c r="N98" s="37"/>
      <c r="O98" s="38"/>
      <c r="P98" s="35">
        <v>328</v>
      </c>
      <c r="Q98" s="36">
        <v>1.4510064145100641E-2</v>
      </c>
      <c r="R98" s="35">
        <v>41</v>
      </c>
      <c r="S98" s="36">
        <v>1.8137580181375801E-3</v>
      </c>
      <c r="T98" s="35">
        <v>742</v>
      </c>
      <c r="U98" s="36">
        <v>3.2824596328245963E-2</v>
      </c>
      <c r="V98" s="39">
        <v>22605</v>
      </c>
      <c r="W98" s="35"/>
      <c r="X98" s="35"/>
      <c r="Y98" s="35"/>
      <c r="Z98" s="37"/>
      <c r="AA98" s="38"/>
      <c r="AC98" s="41">
        <f t="shared" ref="AC98:AD102" si="5">MAX(D98,H98,J98,L98,R98,P98,T98)</f>
        <v>7225</v>
      </c>
      <c r="AD98" s="42">
        <f t="shared" si="5"/>
        <v>0.3196195531961955</v>
      </c>
      <c r="AF98"/>
      <c r="AG98"/>
      <c r="AH98"/>
    </row>
    <row r="99" spans="1:34" s="21" customFormat="1">
      <c r="A99" s="32">
        <v>90</v>
      </c>
      <c r="B99" s="33" t="s">
        <v>108</v>
      </c>
      <c r="C99" s="34">
        <v>6039</v>
      </c>
      <c r="D99" s="35">
        <v>426</v>
      </c>
      <c r="E99" s="36">
        <v>0.10332282318699976</v>
      </c>
      <c r="F99" s="37"/>
      <c r="G99" s="38"/>
      <c r="H99" s="35">
        <v>1497</v>
      </c>
      <c r="I99" s="36">
        <v>0.36308513218530197</v>
      </c>
      <c r="J99" s="35">
        <v>1250</v>
      </c>
      <c r="K99" s="36">
        <v>0.30317729808391947</v>
      </c>
      <c r="L99" s="35">
        <v>27</v>
      </c>
      <c r="M99" s="36">
        <v>6.5486296386126604E-3</v>
      </c>
      <c r="N99" s="37"/>
      <c r="O99" s="38"/>
      <c r="P99" s="35">
        <v>821</v>
      </c>
      <c r="Q99" s="36">
        <v>0.19912684938151831</v>
      </c>
      <c r="R99" s="35">
        <v>3</v>
      </c>
      <c r="S99" s="36">
        <v>7.2762551540140675E-4</v>
      </c>
      <c r="T99" s="35">
        <v>99</v>
      </c>
      <c r="U99" s="36">
        <v>2.4011642008246424E-2</v>
      </c>
      <c r="V99" s="39">
        <v>4123</v>
      </c>
      <c r="W99" s="35"/>
      <c r="X99" s="35"/>
      <c r="Y99" s="35"/>
      <c r="Z99" s="37"/>
      <c r="AA99" s="38"/>
      <c r="AC99" s="41">
        <f t="shared" si="5"/>
        <v>1497</v>
      </c>
      <c r="AD99" s="42">
        <f t="shared" si="5"/>
        <v>0.36308513218530197</v>
      </c>
      <c r="AF99"/>
      <c r="AG99"/>
      <c r="AH99"/>
    </row>
    <row r="100" spans="1:34" s="50" customFormat="1">
      <c r="A100" s="32">
        <v>91</v>
      </c>
      <c r="B100" s="33" t="s">
        <v>109</v>
      </c>
      <c r="C100" s="34">
        <v>40542</v>
      </c>
      <c r="D100" s="35">
        <v>2334</v>
      </c>
      <c r="E100" s="36">
        <v>0.10723146191307543</v>
      </c>
      <c r="F100" s="37"/>
      <c r="G100" s="38"/>
      <c r="H100" s="35">
        <v>7922</v>
      </c>
      <c r="I100" s="36">
        <v>0.36396214279150968</v>
      </c>
      <c r="J100" s="35">
        <v>9509</v>
      </c>
      <c r="K100" s="36">
        <v>0.43687402370669853</v>
      </c>
      <c r="L100" s="35">
        <v>1190</v>
      </c>
      <c r="M100" s="36">
        <v>5.4672424882844801E-2</v>
      </c>
      <c r="N100" s="37"/>
      <c r="O100" s="38"/>
      <c r="P100" s="37"/>
      <c r="Q100" s="38"/>
      <c r="R100" s="49">
        <v>9</v>
      </c>
      <c r="S100" s="36">
        <v>4.1348892768538087E-4</v>
      </c>
      <c r="T100" s="49">
        <v>802</v>
      </c>
      <c r="U100" s="36">
        <v>3.684645777818616E-2</v>
      </c>
      <c r="V100" s="39">
        <v>21766</v>
      </c>
      <c r="W100" s="35"/>
      <c r="X100" s="35"/>
      <c r="Y100" s="49"/>
      <c r="Z100" s="37"/>
      <c r="AA100" s="38"/>
      <c r="AC100" s="41">
        <f t="shared" si="5"/>
        <v>9509</v>
      </c>
      <c r="AD100" s="42">
        <f t="shared" si="5"/>
        <v>0.43687402370669853</v>
      </c>
      <c r="AF100"/>
      <c r="AG100"/>
      <c r="AH100"/>
    </row>
    <row r="101" spans="1:34" s="21" customFormat="1">
      <c r="A101" s="32">
        <v>92</v>
      </c>
      <c r="B101" s="33" t="s">
        <v>177</v>
      </c>
      <c r="C101" s="34">
        <v>44539</v>
      </c>
      <c r="D101" s="35">
        <v>6297</v>
      </c>
      <c r="E101" s="36">
        <v>0.27497816593886465</v>
      </c>
      <c r="F101" s="37"/>
      <c r="G101" s="38"/>
      <c r="H101" s="35">
        <v>5028</v>
      </c>
      <c r="I101" s="36">
        <v>0.21956331877729257</v>
      </c>
      <c r="J101" s="35">
        <v>5846</v>
      </c>
      <c r="K101" s="36">
        <v>0.25528384279475985</v>
      </c>
      <c r="L101" s="35">
        <v>2125</v>
      </c>
      <c r="M101" s="36">
        <v>9.2794759825327505E-2</v>
      </c>
      <c r="N101" s="37"/>
      <c r="O101" s="38"/>
      <c r="P101" s="35">
        <v>2683</v>
      </c>
      <c r="Q101" s="36">
        <v>0.11716157205240174</v>
      </c>
      <c r="R101" s="49">
        <v>16</v>
      </c>
      <c r="S101" s="36">
        <v>6.9868995633187768E-4</v>
      </c>
      <c r="T101" s="49">
        <v>587</v>
      </c>
      <c r="U101" s="36">
        <v>2.5633187772925763E-2</v>
      </c>
      <c r="V101" s="39">
        <v>22900</v>
      </c>
      <c r="W101" s="35">
        <v>318</v>
      </c>
      <c r="X101" s="36">
        <v>1.388646288209607E-2</v>
      </c>
      <c r="Y101" s="49"/>
      <c r="Z101" s="37"/>
      <c r="AA101" s="38"/>
      <c r="AC101" s="41">
        <f t="shared" si="5"/>
        <v>6297</v>
      </c>
      <c r="AD101" s="42">
        <f t="shared" si="5"/>
        <v>0.27497816593886465</v>
      </c>
      <c r="AF101"/>
      <c r="AG101"/>
      <c r="AH101"/>
    </row>
    <row r="102" spans="1:34" s="21" customFormat="1">
      <c r="A102" s="32">
        <v>93</v>
      </c>
      <c r="B102" s="33" t="s">
        <v>178</v>
      </c>
      <c r="C102" s="34">
        <v>31949</v>
      </c>
      <c r="D102" s="35">
        <v>1111</v>
      </c>
      <c r="E102" s="36">
        <v>7.2030601659751031E-2</v>
      </c>
      <c r="F102" s="37"/>
      <c r="G102" s="38"/>
      <c r="H102" s="35">
        <v>4992</v>
      </c>
      <c r="I102" s="36">
        <v>0.32365145228215769</v>
      </c>
      <c r="J102" s="35">
        <v>4893</v>
      </c>
      <c r="K102" s="36">
        <v>0.31723288381742737</v>
      </c>
      <c r="L102" s="35">
        <v>2823</v>
      </c>
      <c r="M102" s="36">
        <v>0.18302645228215766</v>
      </c>
      <c r="N102" s="37"/>
      <c r="O102" s="38"/>
      <c r="P102" s="35">
        <v>317</v>
      </c>
      <c r="Q102" s="36">
        <v>2.0552385892116182E-2</v>
      </c>
      <c r="R102" s="49">
        <v>13</v>
      </c>
      <c r="S102" s="36">
        <v>8.4284232365145232E-4</v>
      </c>
      <c r="T102" s="49">
        <v>340</v>
      </c>
      <c r="U102" s="36">
        <v>2.2043568464730292E-2</v>
      </c>
      <c r="V102" s="39">
        <v>15424</v>
      </c>
      <c r="W102" s="35">
        <v>935</v>
      </c>
      <c r="X102" s="36">
        <v>6.0619813278008298E-2</v>
      </c>
      <c r="Y102" s="49"/>
      <c r="Z102" s="37"/>
      <c r="AA102" s="38"/>
      <c r="AC102" s="41">
        <f t="shared" si="5"/>
        <v>4992</v>
      </c>
      <c r="AD102" s="42">
        <f t="shared" si="5"/>
        <v>0.32365145228215769</v>
      </c>
      <c r="AF102"/>
      <c r="AG102"/>
      <c r="AH102"/>
    </row>
    <row r="103" spans="1:34" s="21" customFormat="1">
      <c r="A103" s="32">
        <v>94</v>
      </c>
      <c r="B103" s="33" t="s">
        <v>110</v>
      </c>
      <c r="C103" s="34">
        <v>14725</v>
      </c>
      <c r="D103" s="35">
        <v>1639</v>
      </c>
      <c r="E103" s="36">
        <v>0.19298245614035087</v>
      </c>
      <c r="F103" s="37"/>
      <c r="G103" s="38"/>
      <c r="H103" s="35">
        <v>3384</v>
      </c>
      <c r="I103" s="36">
        <v>0.398445778876722</v>
      </c>
      <c r="J103" s="35">
        <v>2874</v>
      </c>
      <c r="K103" s="36">
        <v>0.33839632638643591</v>
      </c>
      <c r="L103" s="35">
        <v>346</v>
      </c>
      <c r="M103" s="36">
        <v>4.0739432473801955E-2</v>
      </c>
      <c r="N103" s="37"/>
      <c r="O103" s="38"/>
      <c r="P103" s="37"/>
      <c r="Q103" s="38"/>
      <c r="R103" s="49">
        <v>6</v>
      </c>
      <c r="S103" s="36">
        <v>7.0646414694454254E-4</v>
      </c>
      <c r="T103" s="49">
        <v>244</v>
      </c>
      <c r="U103" s="36">
        <v>2.8729541975744732E-2</v>
      </c>
      <c r="V103" s="39">
        <v>8493</v>
      </c>
      <c r="W103" s="35"/>
      <c r="X103" s="35"/>
      <c r="Y103" s="49" t="s">
        <v>30</v>
      </c>
      <c r="Z103" s="35">
        <v>3220</v>
      </c>
      <c r="AA103" s="36">
        <v>0.37913575886023787</v>
      </c>
      <c r="AC103" s="41">
        <f>MAX(D103,H103,Z103,R103,P103,T103)</f>
        <v>3384</v>
      </c>
      <c r="AD103" s="42">
        <f>MAX(E103,I103,AA103,S103,Q103,U103)</f>
        <v>0.398445778876722</v>
      </c>
      <c r="AF103"/>
      <c r="AG103"/>
      <c r="AH103"/>
    </row>
    <row r="104" spans="1:34" s="21" customFormat="1">
      <c r="A104" s="32">
        <v>95</v>
      </c>
      <c r="B104" s="33" t="s">
        <v>111</v>
      </c>
      <c r="C104" s="34">
        <v>11050</v>
      </c>
      <c r="D104" s="35">
        <v>522</v>
      </c>
      <c r="E104" s="36">
        <v>8.3107785384492913E-2</v>
      </c>
      <c r="F104" s="37"/>
      <c r="G104" s="38"/>
      <c r="H104" s="35">
        <v>1944</v>
      </c>
      <c r="I104" s="36">
        <v>0.30950485591466326</v>
      </c>
      <c r="J104" s="35">
        <v>3257</v>
      </c>
      <c r="K104" s="36">
        <v>0.51854800191052375</v>
      </c>
      <c r="L104" s="35">
        <v>40</v>
      </c>
      <c r="M104" s="36">
        <v>6.3684126731412194E-3</v>
      </c>
      <c r="N104" s="37"/>
      <c r="O104" s="38"/>
      <c r="P104" s="35">
        <v>369</v>
      </c>
      <c r="Q104" s="36">
        <v>5.8748606909727753E-2</v>
      </c>
      <c r="R104" s="49">
        <v>9</v>
      </c>
      <c r="S104" s="36">
        <v>1.4328928514567743E-3</v>
      </c>
      <c r="T104" s="49">
        <v>140</v>
      </c>
      <c r="U104" s="36">
        <v>2.2289444355994267E-2</v>
      </c>
      <c r="V104" s="39">
        <v>6281</v>
      </c>
      <c r="W104" s="35"/>
      <c r="X104" s="35"/>
      <c r="Y104" s="49"/>
      <c r="Z104" s="37"/>
      <c r="AA104" s="38"/>
      <c r="AC104" s="41">
        <f>MAX(D104,H104,J104,L104,R104,P104,T104)</f>
        <v>3257</v>
      </c>
      <c r="AD104" s="42">
        <f>MAX(E104,I104,K104,M104,S104,Q104,U104)</f>
        <v>0.51854800191052375</v>
      </c>
      <c r="AF104"/>
      <c r="AG104"/>
      <c r="AH104"/>
    </row>
    <row r="105" spans="1:34" s="21" customFormat="1">
      <c r="A105" s="32">
        <v>96</v>
      </c>
      <c r="B105" s="33" t="s">
        <v>112</v>
      </c>
      <c r="C105" s="34">
        <v>42455</v>
      </c>
      <c r="D105" s="35">
        <v>8120</v>
      </c>
      <c r="E105" s="36">
        <v>0.37616973964606687</v>
      </c>
      <c r="F105" s="37"/>
      <c r="G105" s="38"/>
      <c r="H105" s="35">
        <v>10517</v>
      </c>
      <c r="I105" s="36">
        <v>0.48721393495784304</v>
      </c>
      <c r="J105" s="35">
        <v>2003</v>
      </c>
      <c r="K105" s="36">
        <v>9.2791624200870934E-2</v>
      </c>
      <c r="L105" s="35">
        <v>124</v>
      </c>
      <c r="M105" s="36">
        <v>5.7444640044473274E-3</v>
      </c>
      <c r="N105" s="37"/>
      <c r="O105" s="38"/>
      <c r="P105" s="35">
        <v>449</v>
      </c>
      <c r="Q105" s="36">
        <v>2.0800518854813304E-2</v>
      </c>
      <c r="R105" s="49">
        <v>14</v>
      </c>
      <c r="S105" s="36">
        <v>6.4856851663114984E-4</v>
      </c>
      <c r="T105" s="49">
        <v>359</v>
      </c>
      <c r="U105" s="36">
        <v>1.6631149819327343E-2</v>
      </c>
      <c r="V105" s="39">
        <v>21586</v>
      </c>
      <c r="W105" s="35"/>
      <c r="X105" s="35"/>
      <c r="Y105" s="49" t="s">
        <v>30</v>
      </c>
      <c r="Z105" s="35">
        <v>2127</v>
      </c>
      <c r="AA105" s="36">
        <v>9.8536088205318256E-2</v>
      </c>
      <c r="AC105" s="41">
        <f>MAX(D105,H105,Z105,R105,P105,T105)</f>
        <v>10517</v>
      </c>
      <c r="AD105" s="42">
        <f>MAX(E105,I105,AA105,S105,Q105,U105)</f>
        <v>0.48721393495784304</v>
      </c>
      <c r="AF105"/>
      <c r="AG105"/>
      <c r="AH105"/>
    </row>
    <row r="106" spans="1:34" s="21" customFormat="1">
      <c r="A106" s="32">
        <v>97</v>
      </c>
      <c r="B106" s="33" t="s">
        <v>113</v>
      </c>
      <c r="C106" s="34">
        <v>18738</v>
      </c>
      <c r="D106" s="35">
        <v>4975</v>
      </c>
      <c r="E106" s="36">
        <v>0.47607655502392343</v>
      </c>
      <c r="F106" s="37"/>
      <c r="G106" s="38"/>
      <c r="H106" s="35">
        <v>3157</v>
      </c>
      <c r="I106" s="36">
        <v>0.30210526315789471</v>
      </c>
      <c r="J106" s="35">
        <v>2073</v>
      </c>
      <c r="K106" s="36">
        <v>0.19837320574162678</v>
      </c>
      <c r="L106" s="35">
        <v>38</v>
      </c>
      <c r="M106" s="36">
        <v>3.6363636363636364E-3</v>
      </c>
      <c r="N106" s="37"/>
      <c r="O106" s="38"/>
      <c r="P106" s="35">
        <v>18</v>
      </c>
      <c r="Q106" s="36">
        <v>1.7224880382775119E-3</v>
      </c>
      <c r="R106" s="49">
        <v>2</v>
      </c>
      <c r="S106" s="36">
        <v>1.9138755980861245E-4</v>
      </c>
      <c r="T106" s="49">
        <v>187</v>
      </c>
      <c r="U106" s="36">
        <v>1.7894736842105262E-2</v>
      </c>
      <c r="V106" s="39">
        <v>10450</v>
      </c>
      <c r="W106" s="35"/>
      <c r="X106" s="35"/>
      <c r="Y106" s="49" t="s">
        <v>28</v>
      </c>
      <c r="Z106" s="35">
        <v>56</v>
      </c>
      <c r="AA106" s="36">
        <v>5.358851674641148E-3</v>
      </c>
      <c r="AC106" s="41">
        <f>MAX(D106,H106,J106,Z106,R106,T106)</f>
        <v>4975</v>
      </c>
      <c r="AD106" s="42">
        <f>MAX(E106,I106,K106,AA106,S106,U106)</f>
        <v>0.47607655502392343</v>
      </c>
      <c r="AF106"/>
      <c r="AG106"/>
      <c r="AH106"/>
    </row>
    <row r="107" spans="1:34" s="21" customFormat="1">
      <c r="A107" s="32">
        <v>98</v>
      </c>
      <c r="B107" s="33" t="s">
        <v>114</v>
      </c>
      <c r="C107" s="34">
        <v>9907</v>
      </c>
      <c r="D107" s="35">
        <v>1883</v>
      </c>
      <c r="E107" s="36">
        <v>0.30588044184535412</v>
      </c>
      <c r="F107" s="37"/>
      <c r="G107" s="38"/>
      <c r="H107" s="35">
        <v>2199</v>
      </c>
      <c r="I107" s="36">
        <v>0.35721247563352826</v>
      </c>
      <c r="J107" s="35">
        <v>1832</v>
      </c>
      <c r="K107" s="36">
        <v>0.29759584145549056</v>
      </c>
      <c r="L107" s="35">
        <v>46</v>
      </c>
      <c r="M107" s="36">
        <v>7.4723846653671211E-3</v>
      </c>
      <c r="N107" s="37"/>
      <c r="O107" s="38"/>
      <c r="P107" s="37"/>
      <c r="Q107" s="38"/>
      <c r="R107" s="49">
        <v>1</v>
      </c>
      <c r="S107" s="36">
        <v>1.6244314489928524E-4</v>
      </c>
      <c r="T107" s="49">
        <v>195</v>
      </c>
      <c r="U107" s="36">
        <v>3.1676413255360622E-2</v>
      </c>
      <c r="V107" s="39">
        <v>6156</v>
      </c>
      <c r="W107" s="35"/>
      <c r="X107" s="35"/>
      <c r="Y107" s="49"/>
      <c r="Z107" s="37"/>
      <c r="AA107" s="38"/>
      <c r="AC107" s="41">
        <f>MAX(D107,H107,J107,L107,R107,P107,T107)</f>
        <v>2199</v>
      </c>
      <c r="AD107" s="42">
        <f>MAX(E107,I107,K107,M107,S107,Q107,U107)</f>
        <v>0.35721247563352826</v>
      </c>
      <c r="AF107"/>
      <c r="AG107"/>
      <c r="AH107"/>
    </row>
    <row r="108" spans="1:34" s="21" customFormat="1">
      <c r="A108" s="32">
        <v>99</v>
      </c>
      <c r="B108" s="33" t="s">
        <v>115</v>
      </c>
      <c r="C108" s="34">
        <v>2799</v>
      </c>
      <c r="D108" s="35">
        <v>384</v>
      </c>
      <c r="E108" s="36">
        <v>0.20178665265370468</v>
      </c>
      <c r="F108" s="37"/>
      <c r="G108" s="38"/>
      <c r="H108" s="35">
        <v>712</v>
      </c>
      <c r="I108" s="36">
        <v>0.37414608512874409</v>
      </c>
      <c r="J108" s="35">
        <v>769</v>
      </c>
      <c r="K108" s="36">
        <v>0.40409879138202837</v>
      </c>
      <c r="L108" s="35">
        <v>2</v>
      </c>
      <c r="M108" s="36">
        <v>1.0509721492380452E-3</v>
      </c>
      <c r="N108" s="37"/>
      <c r="O108" s="38"/>
      <c r="P108" s="35">
        <v>0</v>
      </c>
      <c r="Q108" s="36">
        <v>0</v>
      </c>
      <c r="R108" s="49">
        <v>0</v>
      </c>
      <c r="S108" s="36">
        <v>0</v>
      </c>
      <c r="T108" s="49">
        <v>36</v>
      </c>
      <c r="U108" s="36">
        <v>1.8917498686284815E-2</v>
      </c>
      <c r="V108" s="39">
        <v>1903</v>
      </c>
      <c r="W108" s="35"/>
      <c r="X108" s="35"/>
      <c r="Y108" s="49" t="s">
        <v>28</v>
      </c>
      <c r="Z108" s="35">
        <v>2</v>
      </c>
      <c r="AA108" s="36">
        <v>1.0509721492380452E-3</v>
      </c>
      <c r="AC108" s="41">
        <f>MAX(D108,H108,J108,Z108,R108,T108)</f>
        <v>769</v>
      </c>
      <c r="AD108" s="42">
        <f>MAX(E108,I108,K108,AA108,S108,U108)</f>
        <v>0.40409879138202837</v>
      </c>
      <c r="AF108"/>
      <c r="AG108"/>
      <c r="AH108"/>
    </row>
    <row r="109" spans="1:34" s="21" customFormat="1">
      <c r="A109" s="51">
        <v>100</v>
      </c>
      <c r="B109" s="33" t="s">
        <v>116</v>
      </c>
      <c r="C109" s="34">
        <v>136967</v>
      </c>
      <c r="D109" s="35">
        <v>4579</v>
      </c>
      <c r="E109" s="36">
        <v>8.2608695652173908E-2</v>
      </c>
      <c r="F109" s="37"/>
      <c r="G109" s="38"/>
      <c r="H109" s="35">
        <v>15117</v>
      </c>
      <c r="I109" s="36">
        <v>0.27272235251668769</v>
      </c>
      <c r="J109" s="35">
        <v>32422</v>
      </c>
      <c r="K109" s="36">
        <v>0.58491791448674002</v>
      </c>
      <c r="L109" s="35">
        <v>643</v>
      </c>
      <c r="M109" s="36">
        <v>1.1600216489265741E-2</v>
      </c>
      <c r="N109" s="37"/>
      <c r="O109" s="38"/>
      <c r="P109" s="35">
        <v>1083</v>
      </c>
      <c r="Q109" s="36">
        <v>1.9538156233086777E-2</v>
      </c>
      <c r="R109" s="49">
        <v>71</v>
      </c>
      <c r="S109" s="36">
        <v>1.2808948222983944E-3</v>
      </c>
      <c r="T109" s="49">
        <v>1515</v>
      </c>
      <c r="U109" s="36">
        <v>2.733176979974743E-2</v>
      </c>
      <c r="V109" s="39">
        <v>55430</v>
      </c>
      <c r="W109" s="35"/>
      <c r="X109" s="35"/>
      <c r="Y109" s="49"/>
      <c r="Z109" s="37"/>
      <c r="AA109" s="38"/>
      <c r="AC109" s="41">
        <f>MAX(D109,H109,J109,L109,R109,P109,T109)</f>
        <v>32422</v>
      </c>
      <c r="AD109" s="42">
        <f>MAX(E109,I109,K109,M109,S109,Q109,U109)</f>
        <v>0.58491791448674002</v>
      </c>
      <c r="AF109"/>
      <c r="AG109"/>
      <c r="AH109"/>
    </row>
    <row r="110" spans="1:34" s="21" customFormat="1">
      <c r="A110" s="51">
        <v>101</v>
      </c>
      <c r="B110" s="33" t="s">
        <v>117</v>
      </c>
      <c r="C110" s="34">
        <v>14707</v>
      </c>
      <c r="D110" s="35">
        <v>662</v>
      </c>
      <c r="E110" s="36">
        <v>7.590872606352482E-2</v>
      </c>
      <c r="F110" s="37"/>
      <c r="G110" s="38"/>
      <c r="H110" s="35">
        <v>2756</v>
      </c>
      <c r="I110" s="36">
        <v>0.31601880518289188</v>
      </c>
      <c r="J110" s="35">
        <v>4109</v>
      </c>
      <c r="K110" s="36">
        <v>0.47116156404082099</v>
      </c>
      <c r="L110" s="35">
        <v>918</v>
      </c>
      <c r="M110" s="36">
        <v>0.10526315789473684</v>
      </c>
      <c r="N110" s="37"/>
      <c r="O110" s="38"/>
      <c r="P110" s="37"/>
      <c r="Q110" s="38"/>
      <c r="R110" s="49">
        <v>8</v>
      </c>
      <c r="S110" s="36">
        <v>9.173259947253755E-4</v>
      </c>
      <c r="T110" s="49">
        <v>268</v>
      </c>
      <c r="U110" s="36">
        <v>3.0730420823300079E-2</v>
      </c>
      <c r="V110" s="39">
        <v>8721</v>
      </c>
      <c r="W110" s="35"/>
      <c r="X110" s="35"/>
      <c r="Y110" s="49" t="s">
        <v>30</v>
      </c>
      <c r="Z110" s="35">
        <v>5027</v>
      </c>
      <c r="AA110" s="36">
        <v>0.57642472193555783</v>
      </c>
      <c r="AC110" s="41">
        <f>MAX(D110,H110,Z110,R110,P110,T110)</f>
        <v>5027</v>
      </c>
      <c r="AD110" s="42">
        <f>MAX(E110,I110,AA110,S110,Q110,U110)</f>
        <v>0.57642472193555783</v>
      </c>
      <c r="AF110"/>
      <c r="AG110"/>
      <c r="AH110"/>
    </row>
    <row r="111" spans="1:34" s="21" customFormat="1">
      <c r="A111" s="51">
        <v>102</v>
      </c>
      <c r="B111" s="33" t="s">
        <v>118</v>
      </c>
      <c r="C111" s="34">
        <v>37916</v>
      </c>
      <c r="D111" s="35">
        <v>8733</v>
      </c>
      <c r="E111" s="36">
        <v>0.43499701135684399</v>
      </c>
      <c r="F111" s="37"/>
      <c r="G111" s="38"/>
      <c r="H111" s="35">
        <v>8673</v>
      </c>
      <c r="I111" s="36">
        <v>0.43200836820083682</v>
      </c>
      <c r="J111" s="35">
        <v>1703</v>
      </c>
      <c r="K111" s="36">
        <v>8.4827654911336925E-2</v>
      </c>
      <c r="L111" s="35">
        <v>259</v>
      </c>
      <c r="M111" s="36">
        <v>1.290097629009763E-2</v>
      </c>
      <c r="N111" s="37"/>
      <c r="O111" s="38"/>
      <c r="P111" s="35">
        <v>119</v>
      </c>
      <c r="Q111" s="36">
        <v>5.9274755927475591E-3</v>
      </c>
      <c r="R111" s="49">
        <v>19</v>
      </c>
      <c r="S111" s="36">
        <v>9.4640366606893803E-4</v>
      </c>
      <c r="T111" s="49">
        <v>570</v>
      </c>
      <c r="U111" s="36">
        <v>2.8392109982068141E-2</v>
      </c>
      <c r="V111" s="39">
        <v>20076</v>
      </c>
      <c r="W111" s="35"/>
      <c r="X111" s="35"/>
      <c r="Y111" s="49" t="s">
        <v>28</v>
      </c>
      <c r="Z111" s="35">
        <v>378</v>
      </c>
      <c r="AA111" s="36">
        <v>1.8828451882845189E-2</v>
      </c>
      <c r="AC111" s="41">
        <f>MAX(D111,H111,J111,Z111,R111,T111)</f>
        <v>8733</v>
      </c>
      <c r="AD111" s="42">
        <f>MAX(E111,I111,K111,AA111,S111,U111)</f>
        <v>0.43499701135684399</v>
      </c>
      <c r="AF111"/>
      <c r="AG111"/>
      <c r="AH111"/>
    </row>
    <row r="112" spans="1:34" s="21" customFormat="1">
      <c r="A112" s="51">
        <v>103</v>
      </c>
      <c r="B112" s="33" t="s">
        <v>119</v>
      </c>
      <c r="C112" s="34">
        <v>9536</v>
      </c>
      <c r="D112" s="35">
        <v>3308</v>
      </c>
      <c r="E112" s="36">
        <v>0.50045385779122542</v>
      </c>
      <c r="F112" s="37"/>
      <c r="G112" s="38"/>
      <c r="H112" s="35">
        <v>2424</v>
      </c>
      <c r="I112" s="36">
        <v>0.36671709531013613</v>
      </c>
      <c r="J112" s="35">
        <v>644</v>
      </c>
      <c r="K112" s="36">
        <v>9.742813918305597E-2</v>
      </c>
      <c r="L112" s="35">
        <v>34</v>
      </c>
      <c r="M112" s="36">
        <v>5.1437216338880484E-3</v>
      </c>
      <c r="N112" s="37"/>
      <c r="O112" s="38"/>
      <c r="P112" s="35">
        <v>16</v>
      </c>
      <c r="Q112" s="36">
        <v>2.420574886535552E-3</v>
      </c>
      <c r="R112" s="49">
        <v>3</v>
      </c>
      <c r="S112" s="36">
        <v>4.5385779122541603E-4</v>
      </c>
      <c r="T112" s="49">
        <v>181</v>
      </c>
      <c r="U112" s="36">
        <v>2.7382753403933435E-2</v>
      </c>
      <c r="V112" s="39">
        <v>6610</v>
      </c>
      <c r="W112" s="35"/>
      <c r="X112" s="35"/>
      <c r="Y112" s="49" t="s">
        <v>28</v>
      </c>
      <c r="Z112" s="35">
        <v>50</v>
      </c>
      <c r="AA112" s="36">
        <v>7.5642965204236008E-3</v>
      </c>
      <c r="AC112" s="41">
        <f>MAX(D112,H112,J112,Z112,R112,T112)</f>
        <v>3308</v>
      </c>
      <c r="AD112" s="42">
        <f>MAX(E112,I112,K112,AA112,S112,U112)</f>
        <v>0.50045385779122542</v>
      </c>
      <c r="AF112"/>
      <c r="AG112"/>
      <c r="AH112"/>
    </row>
    <row r="113" spans="1:34" s="21" customFormat="1">
      <c r="A113" s="51">
        <v>104</v>
      </c>
      <c r="B113" s="33" t="s">
        <v>120</v>
      </c>
      <c r="C113" s="34">
        <v>29546</v>
      </c>
      <c r="D113" s="35">
        <v>3227</v>
      </c>
      <c r="E113" s="36">
        <v>0.20715111054050583</v>
      </c>
      <c r="F113" s="37"/>
      <c r="G113" s="38"/>
      <c r="H113" s="35">
        <v>3570</v>
      </c>
      <c r="I113" s="36">
        <v>0.22916934137886763</v>
      </c>
      <c r="J113" s="35">
        <v>5943</v>
      </c>
      <c r="K113" s="36">
        <v>0.38149955064835023</v>
      </c>
      <c r="L113" s="35">
        <v>1620</v>
      </c>
      <c r="M113" s="36">
        <v>0.10399281037360381</v>
      </c>
      <c r="N113" s="37"/>
      <c r="O113" s="38"/>
      <c r="P113" s="35">
        <v>853</v>
      </c>
      <c r="Q113" s="36">
        <v>5.4756708178200025E-2</v>
      </c>
      <c r="R113" s="49">
        <v>9</v>
      </c>
      <c r="S113" s="36">
        <v>5.7773783540890995E-4</v>
      </c>
      <c r="T113" s="49">
        <v>356</v>
      </c>
      <c r="U113" s="36">
        <v>2.2852741045063549E-2</v>
      </c>
      <c r="V113" s="39">
        <v>15578</v>
      </c>
      <c r="W113" s="35"/>
      <c r="X113" s="35"/>
      <c r="Y113" s="49"/>
      <c r="Z113" s="37"/>
      <c r="AA113" s="38"/>
      <c r="AC113" s="41">
        <f>MAX(D113,H113,J113,L113,R113,P113,T113)</f>
        <v>5943</v>
      </c>
      <c r="AD113" s="42">
        <f>MAX(E113,I113,K113,M113,S113,Q113,U113)</f>
        <v>0.38149955064835023</v>
      </c>
      <c r="AF113"/>
      <c r="AG113"/>
      <c r="AH113"/>
    </row>
    <row r="114" spans="1:34" s="21" customFormat="1">
      <c r="A114" s="51">
        <v>105</v>
      </c>
      <c r="B114" s="33" t="s">
        <v>179</v>
      </c>
      <c r="C114" s="34">
        <v>541036</v>
      </c>
      <c r="D114" s="35">
        <v>84845</v>
      </c>
      <c r="E114" s="36">
        <v>0.40323462176407127</v>
      </c>
      <c r="F114" s="37"/>
      <c r="G114" s="38"/>
      <c r="H114" s="35">
        <v>55857</v>
      </c>
      <c r="I114" s="36">
        <v>0.2654661590886408</v>
      </c>
      <c r="J114" s="35">
        <v>59464</v>
      </c>
      <c r="K114" s="36">
        <v>0.28260879896963564</v>
      </c>
      <c r="L114" s="35">
        <v>1192</v>
      </c>
      <c r="M114" s="36">
        <v>5.6651030602012254E-3</v>
      </c>
      <c r="N114" s="37"/>
      <c r="O114" s="38"/>
      <c r="P114" s="35">
        <v>1652</v>
      </c>
      <c r="Q114" s="36">
        <v>7.8513005498761952E-3</v>
      </c>
      <c r="R114" s="49">
        <v>243</v>
      </c>
      <c r="S114" s="36">
        <v>1.1548825869369948E-3</v>
      </c>
      <c r="T114" s="49">
        <v>4558</v>
      </c>
      <c r="U114" s="36">
        <v>2.1662365560735895E-2</v>
      </c>
      <c r="V114" s="39">
        <v>210411</v>
      </c>
      <c r="W114" s="35">
        <v>2600</v>
      </c>
      <c r="X114" s="36">
        <v>1.2356768419902001E-2</v>
      </c>
      <c r="Y114" s="49" t="s">
        <v>30</v>
      </c>
      <c r="Z114" s="35">
        <v>60656</v>
      </c>
      <c r="AA114" s="36">
        <v>0.28827390202983683</v>
      </c>
      <c r="AC114" s="41">
        <f>MAX(D114,H114,Z114,R114,P114,T114)</f>
        <v>84845</v>
      </c>
      <c r="AD114" s="42">
        <f>MAX(E114,I114,AA114,S114,Q114,U114)</f>
        <v>0.40323462176407127</v>
      </c>
      <c r="AF114"/>
      <c r="AG114"/>
      <c r="AH114"/>
    </row>
    <row r="115" spans="1:34" s="21" customFormat="1">
      <c r="A115" s="52">
        <v>106</v>
      </c>
      <c r="B115" s="33" t="s">
        <v>121</v>
      </c>
      <c r="C115" s="34">
        <v>23784</v>
      </c>
      <c r="D115" s="35">
        <v>93</v>
      </c>
      <c r="E115" s="36">
        <v>6.1822774712490857E-3</v>
      </c>
      <c r="F115" s="37"/>
      <c r="G115" s="38"/>
      <c r="H115" s="35">
        <v>3800</v>
      </c>
      <c r="I115" s="36">
        <v>0.25260918699727447</v>
      </c>
      <c r="J115" s="35">
        <v>5663</v>
      </c>
      <c r="K115" s="36">
        <v>0.37645416472778037</v>
      </c>
      <c r="L115" s="35">
        <v>4908</v>
      </c>
      <c r="M115" s="36">
        <v>0.32626470783753242</v>
      </c>
      <c r="N115" s="37"/>
      <c r="O115" s="38"/>
      <c r="P115" s="35">
        <v>12</v>
      </c>
      <c r="Q115" s="36">
        <v>7.977132220966563E-4</v>
      </c>
      <c r="R115" s="49">
        <v>0</v>
      </c>
      <c r="S115" s="36">
        <v>0</v>
      </c>
      <c r="T115" s="49">
        <v>567</v>
      </c>
      <c r="U115" s="36">
        <v>3.7691949744067005E-2</v>
      </c>
      <c r="V115" s="39">
        <v>15043</v>
      </c>
      <c r="W115" s="35"/>
      <c r="X115" s="35"/>
      <c r="Y115" s="49"/>
      <c r="Z115" s="37"/>
      <c r="AA115" s="38"/>
      <c r="AC115" s="41">
        <f>MAX(D115,H115,J115,L115,R115,P115,T115)</f>
        <v>5663</v>
      </c>
      <c r="AD115" s="42">
        <f>MAX(E115,I115,K115,M115,S115,Q115,U115)</f>
        <v>0.37645416472778037</v>
      </c>
      <c r="AF115"/>
      <c r="AG115"/>
      <c r="AH115"/>
    </row>
    <row r="116" spans="1:34" s="21" customFormat="1">
      <c r="A116" s="51">
        <v>107</v>
      </c>
      <c r="B116" s="33" t="s">
        <v>122</v>
      </c>
      <c r="C116" s="34">
        <v>474700</v>
      </c>
      <c r="D116" s="35">
        <v>128139</v>
      </c>
      <c r="E116" s="36">
        <v>0.52448488420639017</v>
      </c>
      <c r="F116" s="37"/>
      <c r="G116" s="38"/>
      <c r="H116" s="35">
        <v>85778</v>
      </c>
      <c r="I116" s="36">
        <v>0.35109735831757494</v>
      </c>
      <c r="J116" s="35">
        <v>18510</v>
      </c>
      <c r="K116" s="36">
        <v>7.5763157248458946E-2</v>
      </c>
      <c r="L116" s="35">
        <v>2581</v>
      </c>
      <c r="M116" s="36">
        <v>1.0564273844315103E-2</v>
      </c>
      <c r="N116" s="37"/>
      <c r="O116" s="38"/>
      <c r="P116" s="35">
        <v>2720</v>
      </c>
      <c r="Q116" s="36">
        <v>1.1133213815008555E-2</v>
      </c>
      <c r="R116" s="49">
        <v>305</v>
      </c>
      <c r="S116" s="36">
        <v>1.248393460874121E-3</v>
      </c>
      <c r="T116" s="49">
        <v>6281</v>
      </c>
      <c r="U116" s="36">
        <v>2.5708719107378208E-2</v>
      </c>
      <c r="V116" s="39">
        <v>244314</v>
      </c>
      <c r="W116" s="35"/>
      <c r="X116" s="35"/>
      <c r="Y116" s="49" t="s">
        <v>28</v>
      </c>
      <c r="Z116" s="35">
        <v>5301</v>
      </c>
      <c r="AA116" s="36">
        <v>2.1697487659323656E-2</v>
      </c>
      <c r="AC116" s="41">
        <f>MAX(D116,H116,J116,Z116,R116,T116)</f>
        <v>128139</v>
      </c>
      <c r="AD116" s="42">
        <f>MAX(E116,I116,K116,AA116,S116,U116)</f>
        <v>0.52448488420639017</v>
      </c>
      <c r="AF116"/>
      <c r="AG116"/>
      <c r="AH116"/>
    </row>
    <row r="117" spans="1:34" s="21" customFormat="1">
      <c r="A117" s="51">
        <v>108</v>
      </c>
      <c r="B117" s="33" t="s">
        <v>123</v>
      </c>
      <c r="C117" s="34">
        <v>8299</v>
      </c>
      <c r="D117" s="35">
        <v>1707</v>
      </c>
      <c r="E117" s="36">
        <v>0.31990254872563717</v>
      </c>
      <c r="F117" s="37"/>
      <c r="G117" s="38"/>
      <c r="H117" s="35">
        <v>2074</v>
      </c>
      <c r="I117" s="36">
        <v>0.38868065967016491</v>
      </c>
      <c r="J117" s="35">
        <v>1039</v>
      </c>
      <c r="K117" s="36">
        <v>0.1947151424287856</v>
      </c>
      <c r="L117" s="35">
        <v>223</v>
      </c>
      <c r="M117" s="36">
        <v>4.1791604197901053E-2</v>
      </c>
      <c r="N117" s="37"/>
      <c r="O117" s="38"/>
      <c r="P117" s="35">
        <v>162</v>
      </c>
      <c r="Q117" s="36">
        <v>3.0359820089955022E-2</v>
      </c>
      <c r="R117" s="49">
        <v>0</v>
      </c>
      <c r="S117" s="36">
        <v>0</v>
      </c>
      <c r="T117" s="49">
        <v>131</v>
      </c>
      <c r="U117" s="36">
        <v>2.4550224887556222E-2</v>
      </c>
      <c r="V117" s="39">
        <v>5336</v>
      </c>
      <c r="W117" s="35"/>
      <c r="X117" s="35"/>
      <c r="Y117" s="49" t="s">
        <v>30</v>
      </c>
      <c r="Z117" s="35">
        <v>1262</v>
      </c>
      <c r="AA117" s="36">
        <v>0.23650674662668666</v>
      </c>
      <c r="AC117" s="41">
        <f t="shared" ref="AC117:AD119" si="6">MAX(D117,H117,Z117,R117,P117,T117)</f>
        <v>2074</v>
      </c>
      <c r="AD117" s="42">
        <f t="shared" si="6"/>
        <v>0.38868065967016491</v>
      </c>
      <c r="AF117"/>
      <c r="AG117"/>
      <c r="AH117"/>
    </row>
    <row r="118" spans="1:34" s="21" customFormat="1">
      <c r="A118" s="51">
        <v>109</v>
      </c>
      <c r="B118" s="33" t="s">
        <v>124</v>
      </c>
      <c r="C118" s="34">
        <v>65179</v>
      </c>
      <c r="D118" s="35">
        <v>4168</v>
      </c>
      <c r="E118" s="36">
        <v>0.13278960112144769</v>
      </c>
      <c r="F118" s="37"/>
      <c r="G118" s="38"/>
      <c r="H118" s="35">
        <v>8265</v>
      </c>
      <c r="I118" s="36">
        <v>0.26331719128329295</v>
      </c>
      <c r="J118" s="35">
        <v>17590</v>
      </c>
      <c r="K118" s="36">
        <v>0.560405250414171</v>
      </c>
      <c r="L118" s="35">
        <v>310</v>
      </c>
      <c r="M118" s="36">
        <v>9.8763858799541231E-3</v>
      </c>
      <c r="N118" s="37"/>
      <c r="O118" s="38"/>
      <c r="P118" s="37"/>
      <c r="Q118" s="38"/>
      <c r="R118" s="49">
        <v>26</v>
      </c>
      <c r="S118" s="36">
        <v>8.2834204154453933E-4</v>
      </c>
      <c r="T118" s="49">
        <v>1029</v>
      </c>
      <c r="U118" s="36">
        <v>3.2783229259589652E-2</v>
      </c>
      <c r="V118" s="39">
        <v>31388</v>
      </c>
      <c r="W118" s="35"/>
      <c r="X118" s="35"/>
      <c r="Y118" s="49" t="s">
        <v>30</v>
      </c>
      <c r="Z118" s="35">
        <v>17900</v>
      </c>
      <c r="AA118" s="36">
        <v>0.57028163629412509</v>
      </c>
      <c r="AC118" s="41">
        <f t="shared" si="6"/>
        <v>17900</v>
      </c>
      <c r="AD118" s="42">
        <f t="shared" si="6"/>
        <v>0.57028163629412509</v>
      </c>
      <c r="AF118"/>
      <c r="AG118"/>
      <c r="AH118"/>
    </row>
    <row r="119" spans="1:34" s="21" customFormat="1">
      <c r="A119" s="51">
        <v>110</v>
      </c>
      <c r="B119" s="33" t="s">
        <v>125</v>
      </c>
      <c r="C119" s="34">
        <v>281397</v>
      </c>
      <c r="D119" s="35">
        <v>16024</v>
      </c>
      <c r="E119" s="36">
        <v>0.14910207499767378</v>
      </c>
      <c r="F119" s="37"/>
      <c r="G119" s="38"/>
      <c r="H119" s="35">
        <v>36568</v>
      </c>
      <c r="I119" s="36">
        <v>0.34026239880896997</v>
      </c>
      <c r="J119" s="35">
        <v>48955</v>
      </c>
      <c r="K119" s="36">
        <v>0.4555224713873639</v>
      </c>
      <c r="L119" s="35">
        <v>1331</v>
      </c>
      <c r="M119" s="36">
        <v>1.2384851586489254E-2</v>
      </c>
      <c r="N119" s="37"/>
      <c r="O119" s="38"/>
      <c r="P119" s="35">
        <v>1353</v>
      </c>
      <c r="Q119" s="36">
        <v>1.2589559877175025E-2</v>
      </c>
      <c r="R119" s="49">
        <v>314</v>
      </c>
      <c r="S119" s="36">
        <v>2.9217456034242115E-3</v>
      </c>
      <c r="T119" s="49">
        <v>2925</v>
      </c>
      <c r="U119" s="36">
        <v>2.7216897738903879E-2</v>
      </c>
      <c r="V119" s="39">
        <v>107470</v>
      </c>
      <c r="W119" s="35"/>
      <c r="X119" s="35"/>
      <c r="Y119" s="49" t="s">
        <v>30</v>
      </c>
      <c r="Z119" s="35">
        <v>50286</v>
      </c>
      <c r="AA119" s="36">
        <v>0.46790732297385318</v>
      </c>
      <c r="AC119" s="41">
        <f t="shared" si="6"/>
        <v>50286</v>
      </c>
      <c r="AD119" s="42">
        <f t="shared" si="6"/>
        <v>0.46790732297385318</v>
      </c>
      <c r="AF119"/>
      <c r="AG119"/>
      <c r="AH119"/>
    </row>
    <row r="120" spans="1:34" s="21" customFormat="1">
      <c r="A120" s="51">
        <v>111</v>
      </c>
      <c r="B120" s="33" t="s">
        <v>180</v>
      </c>
      <c r="C120" s="34">
        <v>36591</v>
      </c>
      <c r="D120" s="35">
        <v>5730</v>
      </c>
      <c r="E120" s="36">
        <v>0.27058934642992066</v>
      </c>
      <c r="F120" s="37"/>
      <c r="G120" s="38"/>
      <c r="H120" s="35">
        <v>6609</v>
      </c>
      <c r="I120" s="36">
        <v>0.31209860219115981</v>
      </c>
      <c r="J120" s="35">
        <v>6510</v>
      </c>
      <c r="K120" s="36">
        <v>0.30742349829996224</v>
      </c>
      <c r="L120" s="35">
        <v>648</v>
      </c>
      <c r="M120" s="36">
        <v>3.0600680015111448E-2</v>
      </c>
      <c r="N120" s="37"/>
      <c r="O120" s="38"/>
      <c r="P120" s="35">
        <v>788</v>
      </c>
      <c r="Q120" s="36">
        <v>3.7211938043067626E-2</v>
      </c>
      <c r="R120" s="49">
        <v>32</v>
      </c>
      <c r="S120" s="36">
        <v>1.5111446921042689E-3</v>
      </c>
      <c r="T120" s="49">
        <v>547</v>
      </c>
      <c r="U120" s="36">
        <v>2.5831129580657346E-2</v>
      </c>
      <c r="V120" s="39">
        <v>21176</v>
      </c>
      <c r="W120" s="35">
        <v>312</v>
      </c>
      <c r="X120" s="36">
        <v>1.4733660748016623E-2</v>
      </c>
      <c r="Y120" s="49"/>
      <c r="Z120" s="37"/>
      <c r="AA120" s="38"/>
      <c r="AC120" s="41">
        <f>MAX(D120,H120,J120,L120,R120,P120,T120)</f>
        <v>6609</v>
      </c>
      <c r="AD120" s="42">
        <f>MAX(E120,I120,K120,M120,S120,Q120,U120)</f>
        <v>0.31209860219115981</v>
      </c>
      <c r="AF120"/>
      <c r="AG120"/>
      <c r="AH120"/>
    </row>
    <row r="121" spans="1:34" s="21" customFormat="1">
      <c r="A121" s="51">
        <v>112</v>
      </c>
      <c r="B121" s="33" t="s">
        <v>126</v>
      </c>
      <c r="C121" s="34">
        <v>22000</v>
      </c>
      <c r="D121" s="35">
        <v>4798</v>
      </c>
      <c r="E121" s="36">
        <v>0.35214678899082569</v>
      </c>
      <c r="F121" s="37"/>
      <c r="G121" s="38"/>
      <c r="H121" s="35">
        <v>4469</v>
      </c>
      <c r="I121" s="36">
        <v>0.32800000000000001</v>
      </c>
      <c r="J121" s="35">
        <v>3104</v>
      </c>
      <c r="K121" s="36">
        <v>0.22781651376146789</v>
      </c>
      <c r="L121" s="35">
        <v>494</v>
      </c>
      <c r="M121" s="36">
        <v>3.6256880733944952E-2</v>
      </c>
      <c r="N121" s="37"/>
      <c r="O121" s="38"/>
      <c r="P121" s="37"/>
      <c r="Q121" s="38"/>
      <c r="R121" s="49">
        <v>17</v>
      </c>
      <c r="S121" s="36">
        <v>1.2477064220183486E-3</v>
      </c>
      <c r="T121" s="49">
        <v>743</v>
      </c>
      <c r="U121" s="36">
        <v>5.4532110091743122E-2</v>
      </c>
      <c r="V121" s="39">
        <v>13625</v>
      </c>
      <c r="W121" s="35"/>
      <c r="X121" s="35"/>
      <c r="Y121" s="49" t="s">
        <v>127</v>
      </c>
      <c r="Z121" s="35">
        <v>5292</v>
      </c>
      <c r="AA121" s="36">
        <v>0.38840366972477064</v>
      </c>
      <c r="AC121" s="41">
        <f>MAX(H121,J121,Z121,R121,P121,T121)</f>
        <v>5292</v>
      </c>
      <c r="AD121" s="42">
        <f>MAX(I121,K121,AA121,S121,Q121,U121)</f>
        <v>0.38840366972477064</v>
      </c>
      <c r="AF121"/>
      <c r="AG121"/>
      <c r="AH121"/>
    </row>
    <row r="122" spans="1:34" s="21" customFormat="1">
      <c r="A122" s="51">
        <v>113</v>
      </c>
      <c r="B122" s="33" t="s">
        <v>128</v>
      </c>
      <c r="C122" s="34">
        <v>22357</v>
      </c>
      <c r="D122" s="35">
        <v>5551</v>
      </c>
      <c r="E122" s="36">
        <v>0.3823792794654543</v>
      </c>
      <c r="F122" s="37"/>
      <c r="G122" s="38"/>
      <c r="H122" s="35">
        <v>6239</v>
      </c>
      <c r="I122" s="36">
        <v>0.42977199145829026</v>
      </c>
      <c r="J122" s="35">
        <v>1185</v>
      </c>
      <c r="K122" s="36">
        <v>8.1628435627195697E-2</v>
      </c>
      <c r="L122" s="35">
        <v>798</v>
      </c>
      <c r="M122" s="36">
        <v>5.4970035131225461E-2</v>
      </c>
      <c r="N122" s="37"/>
      <c r="O122" s="38"/>
      <c r="P122" s="35">
        <v>194</v>
      </c>
      <c r="Q122" s="36">
        <v>1.3363642625886891E-2</v>
      </c>
      <c r="R122" s="49">
        <v>11</v>
      </c>
      <c r="S122" s="36">
        <v>7.5773231383894745E-4</v>
      </c>
      <c r="T122" s="49">
        <v>539</v>
      </c>
      <c r="U122" s="36">
        <v>3.7128883378108428E-2</v>
      </c>
      <c r="V122" s="39">
        <v>14517</v>
      </c>
      <c r="W122" s="35"/>
      <c r="X122" s="35"/>
      <c r="Y122" s="49" t="s">
        <v>34</v>
      </c>
      <c r="Z122" s="35">
        <v>2177</v>
      </c>
      <c r="AA122" s="36">
        <v>0.14996211338430807</v>
      </c>
      <c r="AC122" s="41">
        <f>MAX(D122,H122,R122,Z122,T122)</f>
        <v>6239</v>
      </c>
      <c r="AD122" s="42">
        <f>MAX(E122,I122,S122,AA122,U122)</f>
        <v>0.42977199145829026</v>
      </c>
      <c r="AF122"/>
      <c r="AG122"/>
      <c r="AH122"/>
    </row>
    <row r="123" spans="1:34" s="21" customFormat="1">
      <c r="A123" s="51">
        <v>114</v>
      </c>
      <c r="B123" s="33" t="s">
        <v>129</v>
      </c>
      <c r="C123" s="34">
        <v>28936</v>
      </c>
      <c r="D123" s="35">
        <v>2488</v>
      </c>
      <c r="E123" s="36">
        <v>0.14699279215408248</v>
      </c>
      <c r="F123" s="37"/>
      <c r="G123" s="38"/>
      <c r="H123" s="35">
        <v>5064</v>
      </c>
      <c r="I123" s="36">
        <v>0.2991846862814605</v>
      </c>
      <c r="J123" s="35">
        <v>3996</v>
      </c>
      <c r="K123" s="36">
        <v>0.23608649415101027</v>
      </c>
      <c r="L123" s="35">
        <v>181</v>
      </c>
      <c r="M123" s="36">
        <v>1.0693607467801016E-2</v>
      </c>
      <c r="N123" s="37"/>
      <c r="O123" s="38"/>
      <c r="P123" s="35">
        <v>4363</v>
      </c>
      <c r="Q123" s="36">
        <v>0.25776911260782226</v>
      </c>
      <c r="R123" s="49">
        <v>12</v>
      </c>
      <c r="S123" s="36">
        <v>7.0896845090393477E-4</v>
      </c>
      <c r="T123" s="49">
        <v>822</v>
      </c>
      <c r="U123" s="36">
        <v>4.8564338886919529E-2</v>
      </c>
      <c r="V123" s="39">
        <v>16926</v>
      </c>
      <c r="W123" s="35"/>
      <c r="X123" s="35"/>
      <c r="Y123" s="49" t="s">
        <v>30</v>
      </c>
      <c r="Z123" s="35">
        <v>4177</v>
      </c>
      <c r="AA123" s="36">
        <v>0.24678010161881131</v>
      </c>
      <c r="AC123" s="41">
        <f>MAX(D123,H123,Z123,R123,P123,T123)</f>
        <v>5064</v>
      </c>
      <c r="AD123" s="42">
        <f>MAX(E123,I123,AA123,S123,Q123,U123)</f>
        <v>0.2991846862814605</v>
      </c>
      <c r="AF123"/>
      <c r="AG123"/>
      <c r="AH123"/>
    </row>
    <row r="124" spans="1:34" s="21" customFormat="1">
      <c r="A124" s="51">
        <v>115</v>
      </c>
      <c r="B124" s="33" t="s">
        <v>130</v>
      </c>
      <c r="C124" s="34">
        <v>39909</v>
      </c>
      <c r="D124" s="35">
        <v>2492</v>
      </c>
      <c r="E124" s="36">
        <v>0.11068176771041528</v>
      </c>
      <c r="F124" s="37"/>
      <c r="G124" s="38"/>
      <c r="H124" s="35">
        <v>9661</v>
      </c>
      <c r="I124" s="36">
        <v>0.42909171663335555</v>
      </c>
      <c r="J124" s="35">
        <v>7782</v>
      </c>
      <c r="K124" s="36">
        <v>0.34563624250499669</v>
      </c>
      <c r="L124" s="35">
        <v>867</v>
      </c>
      <c r="M124" s="36">
        <v>3.8507661558960696E-2</v>
      </c>
      <c r="N124" s="37"/>
      <c r="O124" s="38"/>
      <c r="P124" s="35">
        <v>182</v>
      </c>
      <c r="Q124" s="36">
        <v>8.0834998889629129E-3</v>
      </c>
      <c r="R124" s="49">
        <v>28</v>
      </c>
      <c r="S124" s="36">
        <v>1.243615367532756E-3</v>
      </c>
      <c r="T124" s="49">
        <v>1503</v>
      </c>
      <c r="U124" s="36">
        <v>6.6755496335776154E-2</v>
      </c>
      <c r="V124" s="39">
        <v>22515</v>
      </c>
      <c r="W124" s="35"/>
      <c r="X124" s="35"/>
      <c r="Y124" s="49"/>
      <c r="Z124" s="37"/>
      <c r="AA124" s="38"/>
      <c r="AC124" s="41">
        <f>MAX(D124,H124,J124,L124,R124,P124,T124)</f>
        <v>9661</v>
      </c>
      <c r="AD124" s="42">
        <f>MAX(E124,I124,K124,M124,S124,Q124,U124)</f>
        <v>0.42909171663335555</v>
      </c>
      <c r="AF124"/>
      <c r="AG124"/>
      <c r="AH124"/>
    </row>
    <row r="125" spans="1:34" s="21" customFormat="1">
      <c r="A125" s="51">
        <v>116</v>
      </c>
      <c r="B125" s="33" t="s">
        <v>131</v>
      </c>
      <c r="C125" s="34">
        <v>28753</v>
      </c>
      <c r="D125" s="35">
        <v>4597</v>
      </c>
      <c r="E125" s="36">
        <v>0.26480414746543779</v>
      </c>
      <c r="F125" s="37"/>
      <c r="G125" s="38"/>
      <c r="H125" s="35">
        <v>5074</v>
      </c>
      <c r="I125" s="36">
        <v>0.29228110599078339</v>
      </c>
      <c r="J125" s="35">
        <v>6116</v>
      </c>
      <c r="K125" s="36">
        <v>0.35230414746543781</v>
      </c>
      <c r="L125" s="35">
        <v>855</v>
      </c>
      <c r="M125" s="36">
        <v>4.9251152073732721E-2</v>
      </c>
      <c r="N125" s="37"/>
      <c r="O125" s="38"/>
      <c r="P125" s="35">
        <v>199</v>
      </c>
      <c r="Q125" s="36">
        <v>1.1463133640552995E-2</v>
      </c>
      <c r="R125" s="49">
        <v>8</v>
      </c>
      <c r="S125" s="36">
        <v>4.608294930875576E-4</v>
      </c>
      <c r="T125" s="49">
        <v>511</v>
      </c>
      <c r="U125" s="36">
        <v>2.9435483870967741E-2</v>
      </c>
      <c r="V125" s="39">
        <v>17360</v>
      </c>
      <c r="W125" s="35"/>
      <c r="X125" s="35"/>
      <c r="Y125" s="49" t="s">
        <v>132</v>
      </c>
      <c r="Z125" s="35">
        <v>4796</v>
      </c>
      <c r="AA125" s="36">
        <v>0.2762672811059908</v>
      </c>
      <c r="AC125" s="41">
        <f>MAX(H125,J125,L125,R125,Z125,T125)</f>
        <v>6116</v>
      </c>
      <c r="AD125" s="42">
        <f>MAX(I125,K125,M125,S125,AA125,U125)</f>
        <v>0.35230414746543781</v>
      </c>
      <c r="AF125"/>
      <c r="AG125"/>
      <c r="AH125"/>
    </row>
    <row r="126" spans="1:34" s="53" customFormat="1">
      <c r="A126" s="51">
        <v>117</v>
      </c>
      <c r="B126" s="33" t="s">
        <v>133</v>
      </c>
      <c r="C126" s="34">
        <v>2346</v>
      </c>
      <c r="D126" s="35">
        <v>633</v>
      </c>
      <c r="E126" s="36">
        <v>0.35702199661590522</v>
      </c>
      <c r="F126" s="37"/>
      <c r="G126" s="38"/>
      <c r="H126" s="35">
        <v>593</v>
      </c>
      <c r="I126" s="36">
        <v>0.33446136491821771</v>
      </c>
      <c r="J126" s="35">
        <v>465</v>
      </c>
      <c r="K126" s="36">
        <v>0.26226734348561759</v>
      </c>
      <c r="L126" s="35">
        <v>43</v>
      </c>
      <c r="M126" s="36">
        <v>2.4252679075014102E-2</v>
      </c>
      <c r="N126" s="37"/>
      <c r="O126" s="38"/>
      <c r="P126" s="37"/>
      <c r="Q126" s="38"/>
      <c r="R126" s="49">
        <v>0</v>
      </c>
      <c r="S126" s="36">
        <v>0</v>
      </c>
      <c r="T126" s="49">
        <v>39</v>
      </c>
      <c r="U126" s="36">
        <v>2.1996615905245348E-2</v>
      </c>
      <c r="V126" s="39">
        <v>1773</v>
      </c>
      <c r="W126" s="35"/>
      <c r="X126" s="35"/>
      <c r="Y126" s="49"/>
      <c r="Z126" s="37"/>
      <c r="AA126" s="38"/>
      <c r="AC126" s="41">
        <f>MAX(D126,H126,J126,L126,R126,P126,T126)</f>
        <v>633</v>
      </c>
      <c r="AD126" s="42">
        <f>MAX(E126,I126,K126,M126,S126,Q126,U126)</f>
        <v>0.35702199661590522</v>
      </c>
      <c r="AF126"/>
      <c r="AG126"/>
      <c r="AH126"/>
    </row>
    <row r="127" spans="1:34" s="21" customFormat="1">
      <c r="A127" s="51">
        <v>118</v>
      </c>
      <c r="B127" s="33" t="s">
        <v>134</v>
      </c>
      <c r="C127" s="34">
        <v>9343</v>
      </c>
      <c r="D127" s="35">
        <v>595</v>
      </c>
      <c r="E127" s="36">
        <v>0.10310171547392133</v>
      </c>
      <c r="F127" s="37"/>
      <c r="G127" s="38"/>
      <c r="H127" s="35">
        <v>2248</v>
      </c>
      <c r="I127" s="36">
        <v>0.38953387627794145</v>
      </c>
      <c r="J127" s="35">
        <v>1197</v>
      </c>
      <c r="K127" s="36">
        <v>0.20741639230635939</v>
      </c>
      <c r="L127" s="35">
        <v>132</v>
      </c>
      <c r="M127" s="36">
        <v>2.2872985617743893E-2</v>
      </c>
      <c r="N127" s="37"/>
      <c r="O127" s="38"/>
      <c r="P127" s="35">
        <v>1376</v>
      </c>
      <c r="Q127" s="36">
        <v>0.23843354704557268</v>
      </c>
      <c r="R127" s="49">
        <v>3</v>
      </c>
      <c r="S127" s="36">
        <v>5.1984058222145208E-4</v>
      </c>
      <c r="T127" s="49">
        <v>220</v>
      </c>
      <c r="U127" s="36">
        <v>3.812164269623982E-2</v>
      </c>
      <c r="V127" s="39">
        <v>5771</v>
      </c>
      <c r="W127" s="35"/>
      <c r="X127" s="35"/>
      <c r="Y127" s="49" t="s">
        <v>30</v>
      </c>
      <c r="Z127" s="35">
        <v>1329</v>
      </c>
      <c r="AA127" s="36">
        <v>0.23028937792410328</v>
      </c>
      <c r="AC127" s="41">
        <f>MAX(D127,H127,Z127,R127,P127,T127)</f>
        <v>2248</v>
      </c>
      <c r="AD127" s="42">
        <f>MAX(E127,I127,AA127,S127,Q127,U127)</f>
        <v>0.38953387627794145</v>
      </c>
      <c r="AF127"/>
      <c r="AG127"/>
      <c r="AH127"/>
    </row>
    <row r="128" spans="1:34" s="21" customFormat="1">
      <c r="A128" s="51">
        <v>119</v>
      </c>
      <c r="B128" s="33" t="s">
        <v>181</v>
      </c>
      <c r="C128" s="34">
        <v>80298</v>
      </c>
      <c r="D128" s="35">
        <v>11605</v>
      </c>
      <c r="E128" s="36">
        <v>0.28791525045277494</v>
      </c>
      <c r="F128" s="37"/>
      <c r="G128" s="38"/>
      <c r="H128" s="35">
        <v>11348</v>
      </c>
      <c r="I128" s="36">
        <v>0.28153918674175704</v>
      </c>
      <c r="J128" s="35">
        <v>5244</v>
      </c>
      <c r="K128" s="36">
        <v>0.13010147120847496</v>
      </c>
      <c r="L128" s="35">
        <v>7843</v>
      </c>
      <c r="M128" s="36">
        <v>0.19458158632495595</v>
      </c>
      <c r="N128" s="37"/>
      <c r="O128" s="38"/>
      <c r="P128" s="35">
        <v>2050</v>
      </c>
      <c r="Q128" s="36">
        <v>5.0859652169598334E-2</v>
      </c>
      <c r="R128" s="49">
        <v>51</v>
      </c>
      <c r="S128" s="36">
        <v>1.2652889076339097E-3</v>
      </c>
      <c r="T128" s="49">
        <v>1600</v>
      </c>
      <c r="U128" s="36">
        <v>3.9695338278710891E-2</v>
      </c>
      <c r="V128" s="39">
        <v>40307</v>
      </c>
      <c r="W128" s="35">
        <v>566</v>
      </c>
      <c r="X128" s="36">
        <v>1.4042225916093979E-2</v>
      </c>
      <c r="Y128" s="49"/>
      <c r="Z128" s="37"/>
      <c r="AA128" s="38"/>
      <c r="AC128" s="41">
        <f>MAX(D128,H128,J128,L128,R128,P128,T128)</f>
        <v>11605</v>
      </c>
      <c r="AD128" s="42">
        <f>MAX(E128,I128,K128,M128,S128,Q128,U128)</f>
        <v>0.28791525045277494</v>
      </c>
      <c r="AF128"/>
      <c r="AG128"/>
      <c r="AH128"/>
    </row>
    <row r="129" spans="1:34" s="21" customFormat="1">
      <c r="A129" s="51">
        <v>120</v>
      </c>
      <c r="B129" s="33" t="s">
        <v>135</v>
      </c>
      <c r="C129" s="34">
        <v>8931</v>
      </c>
      <c r="D129" s="35">
        <v>1858</v>
      </c>
      <c r="E129" s="36">
        <v>0.34211010863561037</v>
      </c>
      <c r="F129" s="37"/>
      <c r="G129" s="38"/>
      <c r="H129" s="35">
        <v>1871</v>
      </c>
      <c r="I129" s="36">
        <v>0.34450377462714049</v>
      </c>
      <c r="J129" s="35">
        <v>1491</v>
      </c>
      <c r="K129" s="36">
        <v>0.27453507641318359</v>
      </c>
      <c r="L129" s="35">
        <v>26</v>
      </c>
      <c r="M129" s="36">
        <v>4.7873319830602102E-3</v>
      </c>
      <c r="N129" s="37"/>
      <c r="O129" s="38"/>
      <c r="P129" s="35">
        <v>10</v>
      </c>
      <c r="Q129" s="36">
        <v>1.8412815319462346E-3</v>
      </c>
      <c r="R129" s="49">
        <v>0</v>
      </c>
      <c r="S129" s="36">
        <v>0</v>
      </c>
      <c r="T129" s="49">
        <v>175</v>
      </c>
      <c r="U129" s="36">
        <v>3.2222426809059103E-2</v>
      </c>
      <c r="V129" s="39">
        <v>5431</v>
      </c>
      <c r="W129" s="35"/>
      <c r="X129" s="35"/>
      <c r="Y129" s="49" t="s">
        <v>28</v>
      </c>
      <c r="Z129" s="35">
        <v>36</v>
      </c>
      <c r="AA129" s="36">
        <v>6.6286135150064448E-3</v>
      </c>
      <c r="AC129" s="41">
        <f>MAX(D129,H129,J129,Z129,R129,T129)</f>
        <v>1871</v>
      </c>
      <c r="AD129" s="42">
        <f>MAX(E129,I129,K129,AA129,S129,U129)</f>
        <v>0.34450377462714049</v>
      </c>
      <c r="AF129"/>
      <c r="AG129"/>
      <c r="AH129"/>
    </row>
    <row r="130" spans="1:34" s="21" customFormat="1">
      <c r="A130" s="51">
        <v>121</v>
      </c>
      <c r="B130" s="33" t="s">
        <v>136</v>
      </c>
      <c r="C130" s="34">
        <v>72161</v>
      </c>
      <c r="D130" s="35">
        <v>6099</v>
      </c>
      <c r="E130" s="36">
        <v>0.21328157784305496</v>
      </c>
      <c r="F130" s="37"/>
      <c r="G130" s="38"/>
      <c r="H130" s="35">
        <v>13815</v>
      </c>
      <c r="I130" s="36">
        <v>0.48310952580780531</v>
      </c>
      <c r="J130" s="35">
        <v>6135</v>
      </c>
      <c r="K130" s="36">
        <v>0.21454049517415022</v>
      </c>
      <c r="L130" s="35">
        <v>233</v>
      </c>
      <c r="M130" s="36">
        <v>8.1479927262554201E-3</v>
      </c>
      <c r="N130" s="37"/>
      <c r="O130" s="38"/>
      <c r="P130" s="35">
        <v>1591</v>
      </c>
      <c r="Q130" s="36">
        <v>5.5637152049237658E-2</v>
      </c>
      <c r="R130" s="49">
        <v>31</v>
      </c>
      <c r="S130" s="36">
        <v>1.0840677017764722E-3</v>
      </c>
      <c r="T130" s="49">
        <v>692</v>
      </c>
      <c r="U130" s="36">
        <v>2.4199188697719962E-2</v>
      </c>
      <c r="V130" s="39">
        <v>28596</v>
      </c>
      <c r="W130" s="35"/>
      <c r="X130" s="35"/>
      <c r="Y130" s="49"/>
      <c r="Z130" s="37"/>
      <c r="AA130" s="38"/>
      <c r="AC130" s="41">
        <f>MAX(D130,H130,J130,L130,R130,P130,T130)</f>
        <v>13815</v>
      </c>
      <c r="AD130" s="42">
        <f>MAX(E130,I130,K130,M130,S130,Q130,U130)</f>
        <v>0.48310952580780531</v>
      </c>
      <c r="AF130"/>
      <c r="AG130"/>
      <c r="AH130"/>
    </row>
    <row r="131" spans="1:34" s="21" customFormat="1">
      <c r="A131" s="51">
        <v>122</v>
      </c>
      <c r="B131" s="33" t="s">
        <v>137</v>
      </c>
      <c r="C131" s="34">
        <v>203108</v>
      </c>
      <c r="D131" s="35">
        <v>12751</v>
      </c>
      <c r="E131" s="36">
        <v>0.17512944828249255</v>
      </c>
      <c r="F131" s="37"/>
      <c r="G131" s="38"/>
      <c r="H131" s="35">
        <v>20609</v>
      </c>
      <c r="I131" s="36">
        <v>0.28305566619511324</v>
      </c>
      <c r="J131" s="35">
        <v>33954</v>
      </c>
      <c r="K131" s="36">
        <v>0.46634344655193727</v>
      </c>
      <c r="L131" s="35">
        <v>1526</v>
      </c>
      <c r="M131" s="36">
        <v>2.0958947382878491E-2</v>
      </c>
      <c r="N131" s="37"/>
      <c r="O131" s="38"/>
      <c r="P131" s="35">
        <v>1262</v>
      </c>
      <c r="Q131" s="36">
        <v>1.7333022016508947E-2</v>
      </c>
      <c r="R131" s="49">
        <v>117</v>
      </c>
      <c r="S131" s="36">
        <v>1.606944196459229E-3</v>
      </c>
      <c r="T131" s="49">
        <v>2590</v>
      </c>
      <c r="U131" s="36">
        <v>3.5572525374610281E-2</v>
      </c>
      <c r="V131" s="39">
        <v>72809</v>
      </c>
      <c r="W131" s="35"/>
      <c r="X131" s="35"/>
      <c r="Y131" s="49" t="s">
        <v>127</v>
      </c>
      <c r="Z131" s="35">
        <v>14277</v>
      </c>
      <c r="AA131" s="36">
        <v>0.19608839566537103</v>
      </c>
      <c r="AC131" s="41">
        <f>MAX(H131,J131,Z131,R131,P131,T131)</f>
        <v>33954</v>
      </c>
      <c r="AD131" s="42">
        <f>MAX(I131,K131,AA131,S131,Q131,U131)</f>
        <v>0.46634344655193727</v>
      </c>
      <c r="AF131"/>
      <c r="AG131"/>
      <c r="AH131"/>
    </row>
    <row r="132" spans="1:34" s="21" customFormat="1">
      <c r="A132" s="51">
        <v>123</v>
      </c>
      <c r="B132" s="33" t="s">
        <v>138</v>
      </c>
      <c r="C132" s="34">
        <v>19037</v>
      </c>
      <c r="D132" s="35">
        <v>549</v>
      </c>
      <c r="E132" s="36">
        <v>5.0795706883789787E-2</v>
      </c>
      <c r="F132" s="37"/>
      <c r="G132" s="38"/>
      <c r="H132" s="35">
        <v>5299</v>
      </c>
      <c r="I132" s="36">
        <v>0.49028497409326427</v>
      </c>
      <c r="J132" s="35">
        <v>4385</v>
      </c>
      <c r="K132" s="36">
        <v>0.40571798667653591</v>
      </c>
      <c r="L132" s="35">
        <v>119</v>
      </c>
      <c r="M132" s="36">
        <v>1.1010362694300517E-2</v>
      </c>
      <c r="N132" s="37"/>
      <c r="O132" s="38"/>
      <c r="P132" s="35">
        <v>71</v>
      </c>
      <c r="Q132" s="36">
        <v>6.5692079940784607E-3</v>
      </c>
      <c r="R132" s="49">
        <v>8</v>
      </c>
      <c r="S132" s="36">
        <v>7.4019245003700959E-4</v>
      </c>
      <c r="T132" s="49">
        <v>377</v>
      </c>
      <c r="U132" s="36">
        <v>3.4881569207994081E-2</v>
      </c>
      <c r="V132" s="39">
        <v>10808</v>
      </c>
      <c r="W132" s="35"/>
      <c r="X132" s="35"/>
      <c r="Y132" s="49"/>
      <c r="Z132" s="37"/>
      <c r="AA132" s="38"/>
      <c r="AC132" s="41">
        <f>MAX(D132,H132,J132,L132,R132,P132,T132)</f>
        <v>5299</v>
      </c>
      <c r="AD132" s="42">
        <f>MAX(E132,I132,K132,M132,S132,Q132,U132)</f>
        <v>0.49028497409326427</v>
      </c>
      <c r="AF132"/>
      <c r="AG132"/>
      <c r="AH132"/>
    </row>
    <row r="133" spans="1:34" s="21" customFormat="1">
      <c r="A133" s="54">
        <v>124</v>
      </c>
      <c r="B133" s="44" t="s">
        <v>139</v>
      </c>
      <c r="C133" s="45">
        <v>40433</v>
      </c>
      <c r="D133" s="35">
        <v>9509</v>
      </c>
      <c r="E133" s="36">
        <v>0.41899096717338619</v>
      </c>
      <c r="F133" s="37"/>
      <c r="G133" s="38"/>
      <c r="H133" s="35">
        <v>6685</v>
      </c>
      <c r="I133" s="36">
        <v>0.29455827274730118</v>
      </c>
      <c r="J133" s="35">
        <v>3777</v>
      </c>
      <c r="K133" s="36">
        <v>0.16642432253800396</v>
      </c>
      <c r="L133" s="35">
        <v>267</v>
      </c>
      <c r="M133" s="36">
        <v>1.1764705882352941E-2</v>
      </c>
      <c r="N133" s="37"/>
      <c r="O133" s="38"/>
      <c r="P133" s="35">
        <v>1040</v>
      </c>
      <c r="Q133" s="36">
        <v>4.5825071601674379E-2</v>
      </c>
      <c r="R133" s="49">
        <v>57</v>
      </c>
      <c r="S133" s="36">
        <v>2.5115664243225378E-3</v>
      </c>
      <c r="T133" s="49">
        <v>1360</v>
      </c>
      <c r="U133" s="36">
        <v>5.9925093632958802E-2</v>
      </c>
      <c r="V133" s="39">
        <v>22695</v>
      </c>
      <c r="W133" s="35"/>
      <c r="X133" s="35"/>
      <c r="Y133" s="49"/>
      <c r="Z133" s="37"/>
      <c r="AA133" s="38"/>
      <c r="AC133" s="41">
        <f>MAX(D133,H133,J133,L133,R133,P133,T133)</f>
        <v>9509</v>
      </c>
      <c r="AD133" s="42">
        <f>MAX(E133,I133,K133,M133,S133,Q133,U133)</f>
        <v>0.41899096717338619</v>
      </c>
      <c r="AF133"/>
      <c r="AG133"/>
      <c r="AH133"/>
    </row>
    <row r="134" spans="1:34" s="21" customFormat="1">
      <c r="A134" s="51">
        <v>125</v>
      </c>
      <c r="B134" s="33" t="s">
        <v>140</v>
      </c>
      <c r="C134" s="34">
        <v>4278</v>
      </c>
      <c r="D134" s="35">
        <v>654</v>
      </c>
      <c r="E134" s="36">
        <v>0.22963483146067415</v>
      </c>
      <c r="F134" s="37"/>
      <c r="G134" s="38"/>
      <c r="H134" s="35">
        <v>730</v>
      </c>
      <c r="I134" s="36">
        <v>0.2563202247191011</v>
      </c>
      <c r="J134" s="35">
        <v>337</v>
      </c>
      <c r="K134" s="36">
        <v>0.11832865168539326</v>
      </c>
      <c r="L134" s="35">
        <v>22</v>
      </c>
      <c r="M134" s="36">
        <v>7.7247191011235953E-3</v>
      </c>
      <c r="N134" s="37"/>
      <c r="O134" s="38"/>
      <c r="P134" s="35">
        <v>871</v>
      </c>
      <c r="Q134" s="36">
        <v>0.30582865168539325</v>
      </c>
      <c r="R134" s="49">
        <v>151</v>
      </c>
      <c r="S134" s="36">
        <v>5.3019662921348312E-2</v>
      </c>
      <c r="T134" s="49">
        <v>83</v>
      </c>
      <c r="U134" s="36">
        <v>2.914325842696629E-2</v>
      </c>
      <c r="V134" s="39">
        <v>2848</v>
      </c>
      <c r="W134" s="35"/>
      <c r="X134" s="35"/>
      <c r="Y134" s="49" t="s">
        <v>28</v>
      </c>
      <c r="Z134" s="35">
        <v>893</v>
      </c>
      <c r="AA134" s="36">
        <v>0.31355337078651685</v>
      </c>
      <c r="AC134" s="41">
        <f>MAX(D134,H134,J134,Z134,R134,T134)</f>
        <v>893</v>
      </c>
      <c r="AD134" s="42">
        <f>MAX(E134,I134,K134,AA134,S134,U134)</f>
        <v>0.31355337078651685</v>
      </c>
      <c r="AF134"/>
      <c r="AG134"/>
      <c r="AH134"/>
    </row>
    <row r="135" spans="1:34" s="55" customFormat="1" ht="15.75" customHeight="1"/>
    <row r="136" spans="1:34" ht="7.5" customHeight="1">
      <c r="A136" s="56"/>
      <c r="B136" s="57"/>
      <c r="C136" s="58"/>
      <c r="D136" s="58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60"/>
    </row>
    <row r="137" spans="1:34">
      <c r="A137" t="s">
        <v>141</v>
      </c>
      <c r="C137" s="61"/>
      <c r="D137" s="61"/>
      <c r="E137" s="59"/>
      <c r="F137" s="59"/>
      <c r="G137" s="59"/>
      <c r="H137" s="59"/>
      <c r="I137" s="59"/>
      <c r="J137" s="59"/>
      <c r="K137" s="59"/>
      <c r="L137" s="59"/>
      <c r="M137" s="62"/>
      <c r="N137" s="62"/>
      <c r="O137" s="62"/>
      <c r="P137" s="58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60"/>
    </row>
    <row r="138" spans="1:34">
      <c r="C138" s="63"/>
      <c r="D138" s="58" t="s">
        <v>142</v>
      </c>
      <c r="E138" s="59"/>
      <c r="F138" s="59"/>
      <c r="G138" s="59"/>
      <c r="H138" s="59"/>
      <c r="I138" s="59"/>
      <c r="J138" s="59"/>
      <c r="K138" s="59"/>
      <c r="L138" s="59"/>
      <c r="M138" s="62"/>
      <c r="N138" s="62"/>
      <c r="O138" s="62"/>
      <c r="P138" s="58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60"/>
    </row>
    <row r="139" spans="1:34">
      <c r="C139" t="s">
        <v>184</v>
      </c>
      <c r="D139" s="58"/>
      <c r="E139" s="59"/>
      <c r="F139" s="59"/>
      <c r="G139" s="59"/>
      <c r="H139" s="59"/>
      <c r="I139" s="59"/>
      <c r="J139" s="59"/>
      <c r="K139" s="59"/>
      <c r="L139" s="59"/>
      <c r="M139" s="62"/>
      <c r="N139" s="62"/>
      <c r="O139" s="62"/>
      <c r="P139" s="58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60"/>
    </row>
    <row r="140" spans="1:34">
      <c r="C140" t="s">
        <v>185</v>
      </c>
      <c r="D140" s="58"/>
      <c r="E140" s="59"/>
      <c r="F140" s="59"/>
      <c r="G140" s="59"/>
      <c r="H140" s="59"/>
      <c r="I140" s="59"/>
      <c r="J140" s="59"/>
      <c r="K140" s="59"/>
      <c r="L140" s="59"/>
      <c r="M140" s="62"/>
      <c r="N140" s="62"/>
      <c r="O140" s="62"/>
      <c r="P140" s="58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60"/>
    </row>
    <row r="141" spans="1:34">
      <c r="B141" t="s">
        <v>143</v>
      </c>
      <c r="H141" s="48"/>
    </row>
    <row r="142" spans="1:34">
      <c r="B142" t="s">
        <v>144</v>
      </c>
    </row>
    <row r="143" spans="1:34" s="66" customFormat="1">
      <c r="A143"/>
      <c r="B143" s="65" t="s">
        <v>145</v>
      </c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 s="64"/>
    </row>
    <row r="144" spans="1:34">
      <c r="B144" t="s">
        <v>146</v>
      </c>
    </row>
    <row r="145" spans="2:2">
      <c r="B145" t="s">
        <v>147</v>
      </c>
    </row>
    <row r="146" spans="2:2">
      <c r="B146" t="s">
        <v>148</v>
      </c>
    </row>
    <row r="147" spans="2:2">
      <c r="B147" t="s">
        <v>149</v>
      </c>
    </row>
    <row r="148" spans="2:2">
      <c r="B148" t="s">
        <v>150</v>
      </c>
    </row>
    <row r="149" spans="2:2">
      <c r="B149" t="s">
        <v>151</v>
      </c>
    </row>
    <row r="150" spans="2:2">
      <c r="B150" s="67" t="s">
        <v>152</v>
      </c>
    </row>
    <row r="151" spans="2:2">
      <c r="B151" s="67" t="s">
        <v>153</v>
      </c>
    </row>
    <row r="152" spans="2:2">
      <c r="B152" t="s">
        <v>154</v>
      </c>
    </row>
    <row r="153" spans="2:2">
      <c r="B153" t="s">
        <v>155</v>
      </c>
    </row>
    <row r="154" spans="2:2">
      <c r="B154" s="65" t="s">
        <v>156</v>
      </c>
    </row>
    <row r="155" spans="2:2">
      <c r="B155" t="s">
        <v>157</v>
      </c>
    </row>
    <row r="156" spans="2:2">
      <c r="B156" t="s">
        <v>158</v>
      </c>
    </row>
    <row r="157" spans="2:2">
      <c r="B157" t="s">
        <v>159</v>
      </c>
    </row>
    <row r="158" spans="2:2">
      <c r="B158" t="s">
        <v>160</v>
      </c>
    </row>
    <row r="159" spans="2:2">
      <c r="B159" t="s">
        <v>161</v>
      </c>
    </row>
    <row r="160" spans="2:2">
      <c r="B160" t="s">
        <v>162</v>
      </c>
    </row>
  </sheetData>
  <mergeCells count="15">
    <mergeCell ref="AC7:AD7"/>
    <mergeCell ref="Y7:AA7"/>
    <mergeCell ref="W7:X7"/>
    <mergeCell ref="T7:U7"/>
    <mergeCell ref="N7:O7"/>
    <mergeCell ref="A7:A8"/>
    <mergeCell ref="B7:B8"/>
    <mergeCell ref="C7:C8"/>
    <mergeCell ref="J7:K7"/>
    <mergeCell ref="F7:G7"/>
    <mergeCell ref="R7:S7"/>
    <mergeCell ref="D7:E7"/>
    <mergeCell ref="H7:I7"/>
    <mergeCell ref="L7:M7"/>
    <mergeCell ref="P7:Q7"/>
  </mergeCells>
  <phoneticPr fontId="0" type="noConversion"/>
  <conditionalFormatting sqref="D10:D134">
    <cfRule type="cellIs" dxfId="136" priority="1" stopIfTrue="1" operator="equal">
      <formula>$AC10</formula>
    </cfRule>
  </conditionalFormatting>
  <conditionalFormatting sqref="E10:E134">
    <cfRule type="cellIs" dxfId="135" priority="2" stopIfTrue="1" operator="equal">
      <formula>$AD10</formula>
    </cfRule>
  </conditionalFormatting>
  <conditionalFormatting sqref="H10:H71 H73:H134 F72">
    <cfRule type="cellIs" dxfId="134" priority="3" stopIfTrue="1" operator="equal">
      <formula>$AC10</formula>
    </cfRule>
  </conditionalFormatting>
  <conditionalFormatting sqref="I10:I71 I73:I134 G72">
    <cfRule type="cellIs" dxfId="133" priority="4" stopIfTrue="1" operator="equal">
      <formula>$AD10</formula>
    </cfRule>
  </conditionalFormatting>
  <conditionalFormatting sqref="J10:J134">
    <cfRule type="cellIs" dxfId="132" priority="5" stopIfTrue="1" operator="equal">
      <formula>$AC10</formula>
    </cfRule>
  </conditionalFormatting>
  <conditionalFormatting sqref="K10:K134">
    <cfRule type="cellIs" dxfId="131" priority="6" stopIfTrue="1" operator="equal">
      <formula>$AD10</formula>
    </cfRule>
  </conditionalFormatting>
  <conditionalFormatting sqref="L10:L134">
    <cfRule type="cellIs" dxfId="130" priority="7" stopIfTrue="1" operator="equal">
      <formula>$AC10</formula>
    </cfRule>
  </conditionalFormatting>
  <conditionalFormatting sqref="M10:M134">
    <cfRule type="cellIs" dxfId="129" priority="8" stopIfTrue="1" operator="equal">
      <formula>$AD10</formula>
    </cfRule>
  </conditionalFormatting>
  <conditionalFormatting sqref="P10:P12 P14:P23 P27:P35 P37:P49 P52:P70 P72 P74:P75 P77:P86 P89:P93 P95 P97:P99 P101:P102 P104:P106 P108:P109 P111:P117 P119:P120 P122:P125 P127:P134">
    <cfRule type="cellIs" dxfId="128" priority="9" stopIfTrue="1" operator="equal">
      <formula>$AC10</formula>
    </cfRule>
  </conditionalFormatting>
  <conditionalFormatting sqref="Q10:Q12 Q14:Q23 Q27:Q35 Q37:Q49 Q52:Q70 Q72 Q74:Q75 Q77:Q86 Q89:Q93 Q95 Q97:Q99 Q101:Q102 Q104:Q106 Q108:Q109 Q111:Q117 Q119:Q120 Q122:Q125 Q127:Q134">
    <cfRule type="cellIs" dxfId="127" priority="10" stopIfTrue="1" operator="equal">
      <formula>$AD10</formula>
    </cfRule>
  </conditionalFormatting>
  <conditionalFormatting sqref="Z10 Z12:Z14 Z16 Z19 Z21:Z23 Z30 Z32:Z33 Z38:Z39 Z41 Z43:Z44 Z47 Z49:Z50 Z52:Z55 Z57 Z59 Z61:Z62 Z64:Z67 Z75:Z76 Z80:Z81 Z84:Z85 Z87 Z89:Z90 Z95 Z97 Z103 Z105:Z106 Z108 Z110:Z112 Z116:Z119 Z121:Z123 Z125 Z127 Z129 Z131 Z134 Z114 Z71:Z73">
    <cfRule type="cellIs" dxfId="126" priority="11" stopIfTrue="1" operator="equal">
      <formula>$AC10</formula>
    </cfRule>
  </conditionalFormatting>
  <conditionalFormatting sqref="AA10 AA12:AA14 AA16 AA19 AA21:AA23 AA30 AA32:AA33 AA38:AA39 AA41 AA43:AA44 AA47 AA49:AA50 AA52:AA55 AA57 AA59 AA61:AA62 AA64:AA67 AA75:AA76 AA80:AA81 AA84:AA85 AA87 AA89:AA90 AA95 AA97 AA103 AA105:AA106 AA108 AA110:AA112 AA116:AA119 AA121:AA123 AA125 AA127 AA129 AA131 AA134 AA114 AA71:AA73">
    <cfRule type="cellIs" dxfId="125" priority="12" stopIfTrue="1" operator="equal">
      <formula>$AD10</formula>
    </cfRule>
  </conditionalFormatting>
  <conditionalFormatting sqref="N72">
    <cfRule type="cellIs" dxfId="124" priority="13" stopIfTrue="1" operator="equal">
      <formula>$AC72</formula>
    </cfRule>
  </conditionalFormatting>
  <conditionalFormatting sqref="O72">
    <cfRule type="cellIs" dxfId="123" priority="14" stopIfTrue="1" operator="equal">
      <formula>$AD72</formula>
    </cfRule>
  </conditionalFormatting>
  <printOptions horizontalCentered="1"/>
  <pageMargins left="0.49" right="0.16" top="0.47244094488188981" bottom="0.51181102362204722" header="0.27559055118110237" footer="0.27559055118110237"/>
  <pageSetup scale="64" orientation="landscape" r:id="rId1"/>
  <headerFooter alignWithMargins="0">
    <oddFooter>&amp;L&amp;"Arial Narrow,Normal"&amp;9&amp;Z&amp;F - &amp;A&amp;C&amp;"Arial Narrow,Normal"&amp;9&amp;D&amp;R&amp;"Arial Narrow,Normal"&amp;9  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01"/>
  <sheetViews>
    <sheetView showGridLines="0" zoomScaleNormal="115" zoomScaleSheetLayoutView="70" workbookViewId="0">
      <pane xSplit="1" ySplit="11" topLeftCell="B12" activePane="bottomRight" state="frozen"/>
      <selection activeCell="A30" sqref="A30"/>
      <selection pane="topRight" activeCell="A30" sqref="A30"/>
      <selection pane="bottomLeft" activeCell="A30" sqref="A30"/>
      <selection pane="bottomRight" activeCell="J131" sqref="J131"/>
    </sheetView>
  </sheetViews>
  <sheetFormatPr baseColWidth="10" defaultRowHeight="12.75"/>
  <cols>
    <col min="1" max="1" width="30.42578125" bestFit="1" customWidth="1"/>
    <col min="2" max="2" width="8.5703125" customWidth="1"/>
    <col min="3" max="3" width="11.7109375" customWidth="1"/>
    <col min="4" max="4" width="11.140625" customWidth="1"/>
    <col min="5" max="8" width="9" customWidth="1"/>
    <col min="9" max="9" width="6.5703125" customWidth="1"/>
    <col min="10" max="10" width="9" customWidth="1"/>
    <col min="11" max="11" width="6.5703125" customWidth="1"/>
    <col min="12" max="12" width="9" customWidth="1"/>
    <col min="13" max="13" width="6.5703125" customWidth="1"/>
    <col min="14" max="14" width="9" customWidth="1"/>
    <col min="15" max="15" width="6.5703125" customWidth="1"/>
    <col min="16" max="16" width="9" customWidth="1"/>
    <col min="17" max="17" width="6.5703125" customWidth="1"/>
    <col min="18" max="18" width="9" customWidth="1"/>
    <col min="19" max="19" width="6.5703125" customWidth="1"/>
    <col min="20" max="20" width="9" customWidth="1"/>
    <col min="21" max="21" width="5.42578125" customWidth="1"/>
    <col min="22" max="22" width="7.42578125" customWidth="1"/>
    <col min="23" max="23" width="5.42578125" customWidth="1"/>
    <col min="24" max="24" width="7.42578125" customWidth="1"/>
    <col min="25" max="25" width="5.42578125" customWidth="1"/>
    <col min="26" max="26" width="7.42578125" customWidth="1"/>
    <col min="27" max="27" width="5.42578125" customWidth="1"/>
    <col min="28" max="28" width="7.42578125" customWidth="1"/>
    <col min="29" max="29" width="7.5703125" customWidth="1"/>
    <col min="30" max="30" width="9" customWidth="1"/>
    <col min="31" max="31" width="7.85546875" customWidth="1"/>
    <col min="32" max="32" width="9" customWidth="1"/>
    <col min="33" max="33" width="6.5703125" customWidth="1"/>
    <col min="34" max="34" width="9" customWidth="1"/>
    <col min="35" max="35" width="8.7109375" customWidth="1"/>
    <col min="36" max="36" width="10.85546875" customWidth="1"/>
    <col min="37" max="37" width="1.7109375" customWidth="1"/>
    <col min="38" max="39" width="10.85546875" customWidth="1"/>
    <col min="40" max="40" width="1.7109375" customWidth="1"/>
    <col min="41" max="42" width="10.85546875" customWidth="1"/>
    <col min="43" max="43" width="1.7109375" customWidth="1"/>
    <col min="44" max="44" width="6.5703125" customWidth="1"/>
    <col min="45" max="45" width="9.28515625" customWidth="1"/>
    <col min="46" max="46" width="10.85546875" customWidth="1"/>
    <col min="47" max="47" width="9.42578125" customWidth="1"/>
    <col min="48" max="48" width="6.5703125" customWidth="1"/>
    <col min="49" max="49" width="9.28515625" customWidth="1"/>
    <col min="50" max="50" width="6.5703125" customWidth="1"/>
    <col min="51" max="51" width="9.5703125" customWidth="1"/>
    <col min="52" max="52" width="21.5703125" customWidth="1"/>
    <col min="53" max="53" width="8.5703125" customWidth="1"/>
    <col min="54" max="54" width="9.140625" customWidth="1"/>
    <col min="55" max="55" width="5.42578125" hidden="1" customWidth="1"/>
    <col min="56" max="56" width="6.42578125" hidden="1" customWidth="1"/>
    <col min="57" max="63" width="5.42578125" hidden="1" customWidth="1"/>
    <col min="64" max="64" width="6.85546875" hidden="1" customWidth="1"/>
    <col min="65" max="65" width="12.85546875" hidden="1" customWidth="1"/>
    <col min="66" max="66" width="7.85546875" hidden="1" customWidth="1"/>
    <col min="67" max="67" width="6.28515625" hidden="1" customWidth="1"/>
    <col min="68" max="68" width="21.7109375" customWidth="1"/>
    <col min="69" max="69" width="8" customWidth="1"/>
    <col min="70" max="70" width="9.28515625" customWidth="1"/>
    <col min="71" max="71" width="7" customWidth="1"/>
    <col min="72" max="72" width="9.140625" bestFit="1" customWidth="1"/>
  </cols>
  <sheetData>
    <row r="1" spans="1:72">
      <c r="B1" t="s">
        <v>186</v>
      </c>
      <c r="AJ1" s="48"/>
    </row>
    <row r="2" spans="1:72">
      <c r="B2" t="s">
        <v>187</v>
      </c>
      <c r="AJ2" s="48"/>
    </row>
    <row r="3" spans="1:72">
      <c r="B3" t="s">
        <v>188</v>
      </c>
    </row>
    <row r="4" spans="1:72">
      <c r="B4" t="s">
        <v>189</v>
      </c>
    </row>
    <row r="5" spans="1:72" ht="13.5">
      <c r="B5" s="68" t="s">
        <v>190</v>
      </c>
    </row>
    <row r="6" spans="1:72" ht="13.5">
      <c r="C6" s="534">
        <v>40073</v>
      </c>
      <c r="D6" s="534"/>
      <c r="E6" s="70">
        <v>0.79166666666666663</v>
      </c>
      <c r="F6" s="71" t="s">
        <v>191</v>
      </c>
      <c r="G6" t="s">
        <v>141</v>
      </c>
      <c r="H6" s="68" t="s">
        <v>192</v>
      </c>
    </row>
    <row r="7" spans="1:72" ht="13.5">
      <c r="C7" s="69"/>
      <c r="D7" s="69"/>
      <c r="E7" s="70"/>
      <c r="F7" s="71"/>
      <c r="H7" s="68" t="s">
        <v>193</v>
      </c>
    </row>
    <row r="8" spans="1:72" ht="13.5">
      <c r="C8" s="72"/>
      <c r="D8" s="72"/>
      <c r="E8" s="70"/>
      <c r="F8" s="71"/>
      <c r="H8" s="68" t="s">
        <v>194</v>
      </c>
      <c r="U8" s="523" t="s">
        <v>195</v>
      </c>
      <c r="V8" s="535"/>
      <c r="W8" s="535"/>
      <c r="X8" s="535"/>
      <c r="Y8" s="535"/>
      <c r="Z8" s="535"/>
      <c r="AA8" s="535"/>
      <c r="AB8" s="524"/>
      <c r="AR8" s="523" t="s">
        <v>196</v>
      </c>
      <c r="AS8" s="535"/>
      <c r="AT8" s="535"/>
      <c r="AU8" s="535"/>
      <c r="AV8" s="535"/>
      <c r="AW8" s="535"/>
      <c r="AX8" s="535"/>
      <c r="AY8" s="524"/>
    </row>
    <row r="9" spans="1:72" ht="30" customHeight="1">
      <c r="A9" s="536" t="s">
        <v>197</v>
      </c>
      <c r="B9" s="74" t="s">
        <v>198</v>
      </c>
      <c r="C9" s="538" t="s">
        <v>7</v>
      </c>
      <c r="D9" s="539"/>
      <c r="E9" s="540" t="s">
        <v>8</v>
      </c>
      <c r="F9" s="541"/>
      <c r="G9" s="542" t="s">
        <v>10</v>
      </c>
      <c r="H9" s="543"/>
      <c r="I9" s="544" t="s">
        <v>11</v>
      </c>
      <c r="J9" s="545"/>
      <c r="K9" s="546" t="s">
        <v>12</v>
      </c>
      <c r="L9" s="547"/>
      <c r="M9" s="548" t="s">
        <v>199</v>
      </c>
      <c r="N9" s="549"/>
      <c r="O9" s="550" t="s">
        <v>200</v>
      </c>
      <c r="P9" s="551"/>
      <c r="Q9" s="552" t="s">
        <v>201</v>
      </c>
      <c r="R9" s="552"/>
      <c r="S9" s="553" t="s">
        <v>202</v>
      </c>
      <c r="T9" s="554"/>
      <c r="U9" s="555" t="s">
        <v>132</v>
      </c>
      <c r="V9" s="556"/>
      <c r="W9" s="557" t="s">
        <v>203</v>
      </c>
      <c r="X9" s="558"/>
      <c r="Y9" s="555" t="s">
        <v>30</v>
      </c>
      <c r="Z9" s="556"/>
      <c r="AA9" s="555" t="s">
        <v>28</v>
      </c>
      <c r="AB9" s="556"/>
      <c r="AC9" s="559" t="s">
        <v>204</v>
      </c>
      <c r="AD9" s="560"/>
      <c r="AE9" s="555" t="s">
        <v>205</v>
      </c>
      <c r="AF9" s="556"/>
      <c r="AG9" s="555" t="s">
        <v>206</v>
      </c>
      <c r="AH9" s="556"/>
      <c r="AI9" s="74" t="s">
        <v>207</v>
      </c>
      <c r="AJ9" s="74" t="s">
        <v>208</v>
      </c>
      <c r="AL9" s="555" t="s">
        <v>209</v>
      </c>
      <c r="AM9" s="556"/>
      <c r="AO9" s="557" t="s">
        <v>210</v>
      </c>
      <c r="AP9" s="558"/>
      <c r="AR9" s="555" t="s">
        <v>132</v>
      </c>
      <c r="AS9" s="556"/>
      <c r="AT9" s="555" t="s">
        <v>203</v>
      </c>
      <c r="AU9" s="556"/>
      <c r="AV9" s="555" t="s">
        <v>30</v>
      </c>
      <c r="AW9" s="556"/>
      <c r="AX9" s="555" t="s">
        <v>28</v>
      </c>
      <c r="AY9" s="556"/>
      <c r="AZ9" s="561" t="s">
        <v>211</v>
      </c>
      <c r="BA9" s="562"/>
      <c r="BB9" s="563"/>
      <c r="BC9" s="76" t="s">
        <v>212</v>
      </c>
      <c r="BD9" s="76" t="s">
        <v>212</v>
      </c>
      <c r="BE9" s="76" t="s">
        <v>212</v>
      </c>
      <c r="BF9" s="76" t="s">
        <v>212</v>
      </c>
      <c r="BG9" s="76" t="s">
        <v>212</v>
      </c>
      <c r="BH9" s="76" t="s">
        <v>212</v>
      </c>
      <c r="BI9" s="76" t="s">
        <v>212</v>
      </c>
      <c r="BJ9" s="76" t="s">
        <v>212</v>
      </c>
      <c r="BK9" s="76" t="s">
        <v>212</v>
      </c>
      <c r="BL9" s="76" t="s">
        <v>212</v>
      </c>
      <c r="BM9" s="76" t="s">
        <v>212</v>
      </c>
      <c r="BN9" s="76" t="s">
        <v>212</v>
      </c>
      <c r="BO9" s="76" t="s">
        <v>212</v>
      </c>
      <c r="BP9" s="561" t="s">
        <v>213</v>
      </c>
      <c r="BQ9" s="562"/>
      <c r="BR9" s="563"/>
      <c r="BS9" s="555" t="s">
        <v>214</v>
      </c>
      <c r="BT9" s="556"/>
    </row>
    <row r="10" spans="1:72" ht="25.5">
      <c r="A10" s="537"/>
      <c r="B10" s="77" t="s">
        <v>215</v>
      </c>
      <c r="C10" s="75" t="s">
        <v>216</v>
      </c>
      <c r="D10" s="75" t="s">
        <v>217</v>
      </c>
      <c r="E10" s="75" t="s">
        <v>216</v>
      </c>
      <c r="F10" s="75" t="s">
        <v>217</v>
      </c>
      <c r="G10" s="75" t="s">
        <v>216</v>
      </c>
      <c r="H10" s="75" t="s">
        <v>217</v>
      </c>
      <c r="I10" s="75" t="s">
        <v>216</v>
      </c>
      <c r="J10" s="75" t="s">
        <v>217</v>
      </c>
      <c r="K10" s="75" t="s">
        <v>216</v>
      </c>
      <c r="L10" s="75" t="s">
        <v>217</v>
      </c>
      <c r="M10" s="75" t="s">
        <v>216</v>
      </c>
      <c r="N10" s="75" t="s">
        <v>217</v>
      </c>
      <c r="O10" s="75" t="s">
        <v>216</v>
      </c>
      <c r="P10" s="75" t="s">
        <v>217</v>
      </c>
      <c r="Q10" s="75" t="s">
        <v>216</v>
      </c>
      <c r="R10" s="75" t="s">
        <v>217</v>
      </c>
      <c r="S10" s="75" t="s">
        <v>216</v>
      </c>
      <c r="T10" s="75" t="s">
        <v>217</v>
      </c>
      <c r="U10" s="75" t="s">
        <v>216</v>
      </c>
      <c r="V10" s="75" t="s">
        <v>218</v>
      </c>
      <c r="W10" s="75" t="s">
        <v>216</v>
      </c>
      <c r="X10" s="75" t="s">
        <v>218</v>
      </c>
      <c r="Y10" s="75" t="s">
        <v>216</v>
      </c>
      <c r="Z10" s="75" t="s">
        <v>218</v>
      </c>
      <c r="AA10" s="75" t="s">
        <v>216</v>
      </c>
      <c r="AB10" s="75" t="s">
        <v>218</v>
      </c>
      <c r="AC10" s="75" t="s">
        <v>216</v>
      </c>
      <c r="AD10" s="75" t="s">
        <v>217</v>
      </c>
      <c r="AE10" s="75" t="s">
        <v>216</v>
      </c>
      <c r="AF10" s="75" t="s">
        <v>217</v>
      </c>
      <c r="AG10" s="75" t="s">
        <v>216</v>
      </c>
      <c r="AH10" s="75" t="s">
        <v>217</v>
      </c>
      <c r="AI10" s="77" t="s">
        <v>219</v>
      </c>
      <c r="AJ10" s="77" t="s">
        <v>220</v>
      </c>
      <c r="AL10" s="75" t="s">
        <v>216</v>
      </c>
      <c r="AM10" s="78" t="s">
        <v>217</v>
      </c>
      <c r="AO10" s="75" t="s">
        <v>216</v>
      </c>
      <c r="AP10" s="78" t="s">
        <v>217</v>
      </c>
      <c r="AR10" s="75" t="s">
        <v>216</v>
      </c>
      <c r="AS10" s="75" t="s">
        <v>217</v>
      </c>
      <c r="AT10" s="75" t="s">
        <v>216</v>
      </c>
      <c r="AU10" s="75" t="s">
        <v>217</v>
      </c>
      <c r="AV10" s="75" t="s">
        <v>216</v>
      </c>
      <c r="AW10" s="75" t="s">
        <v>217</v>
      </c>
      <c r="AX10" s="75" t="s">
        <v>216</v>
      </c>
      <c r="AY10" s="75" t="s">
        <v>217</v>
      </c>
      <c r="AZ10" s="75" t="s">
        <v>221</v>
      </c>
      <c r="BA10" s="75" t="s">
        <v>207</v>
      </c>
      <c r="BB10" s="75" t="s">
        <v>217</v>
      </c>
      <c r="BC10" s="75" t="s">
        <v>7</v>
      </c>
      <c r="BD10" s="75" t="s">
        <v>8</v>
      </c>
      <c r="BE10" s="75" t="s">
        <v>10</v>
      </c>
      <c r="BF10" s="75" t="s">
        <v>11</v>
      </c>
      <c r="BG10" s="75" t="s">
        <v>12</v>
      </c>
      <c r="BH10" s="75" t="s">
        <v>199</v>
      </c>
      <c r="BI10" s="75" t="s">
        <v>200</v>
      </c>
      <c r="BJ10" s="75" t="s">
        <v>201</v>
      </c>
      <c r="BK10" s="75" t="s">
        <v>202</v>
      </c>
      <c r="BL10" s="75" t="s">
        <v>132</v>
      </c>
      <c r="BM10" s="79" t="s">
        <v>222</v>
      </c>
      <c r="BN10" s="75" t="s">
        <v>30</v>
      </c>
      <c r="BO10" s="75" t="s">
        <v>28</v>
      </c>
      <c r="BP10" s="75" t="s">
        <v>221</v>
      </c>
      <c r="BQ10" s="75" t="s">
        <v>207</v>
      </c>
      <c r="BR10" s="78" t="s">
        <v>217</v>
      </c>
      <c r="BS10" s="78" t="s">
        <v>223</v>
      </c>
      <c r="BT10" s="78" t="s">
        <v>224</v>
      </c>
    </row>
    <row r="11" spans="1:72" ht="17.100000000000001" customHeight="1">
      <c r="A11" s="80" t="s">
        <v>225</v>
      </c>
      <c r="B11" s="81">
        <v>10020332</v>
      </c>
      <c r="C11" s="82">
        <v>1090162</v>
      </c>
      <c r="D11" s="83">
        <v>0.20808545735063355</v>
      </c>
      <c r="E11" s="82">
        <v>2141327</v>
      </c>
      <c r="F11" s="83">
        <v>0.40872733422395946</v>
      </c>
      <c r="G11" s="82">
        <v>863371</v>
      </c>
      <c r="H11" s="83">
        <v>0.16479656179381949</v>
      </c>
      <c r="I11" s="82">
        <v>249558</v>
      </c>
      <c r="J11" s="83">
        <v>4.7634563088338619E-2</v>
      </c>
      <c r="K11" s="82">
        <v>142289</v>
      </c>
      <c r="L11" s="83">
        <v>2.7159515412355499E-2</v>
      </c>
      <c r="M11" s="82">
        <v>274738</v>
      </c>
      <c r="N11" s="83">
        <v>5.244081373373715E-2</v>
      </c>
      <c r="O11" s="82">
        <v>61381</v>
      </c>
      <c r="P11" s="83">
        <v>1.1716142607831898E-2</v>
      </c>
      <c r="Q11" s="82">
        <v>28446</v>
      </c>
      <c r="R11" s="83">
        <v>5.4296507489676963E-3</v>
      </c>
      <c r="S11" s="82">
        <v>12443</v>
      </c>
      <c r="T11" s="83">
        <v>2.3750665917670337E-3</v>
      </c>
      <c r="U11" s="82">
        <v>61</v>
      </c>
      <c r="V11" s="83">
        <v>1.1643418958272849E-5</v>
      </c>
      <c r="W11" s="82">
        <v>42754</v>
      </c>
      <c r="X11" s="83">
        <v>8.1607005597048761E-3</v>
      </c>
      <c r="Y11" s="82">
        <v>10855</v>
      </c>
      <c r="Z11" s="83">
        <v>2.071955947410685E-3</v>
      </c>
      <c r="AA11" s="82">
        <v>777</v>
      </c>
      <c r="AB11" s="83">
        <v>1.4831043492750826E-4</v>
      </c>
      <c r="AC11" s="82">
        <v>7886</v>
      </c>
      <c r="AD11" s="83">
        <v>1.5052459328678638E-3</v>
      </c>
      <c r="AE11" s="82">
        <v>4926048</v>
      </c>
      <c r="AF11" s="83">
        <v>0.94026296184527958</v>
      </c>
      <c r="AG11" s="82">
        <v>258789</v>
      </c>
      <c r="AH11" s="84">
        <v>4.9396536865450369E-2</v>
      </c>
      <c r="AI11" s="82">
        <v>5239011</v>
      </c>
      <c r="AJ11" s="85">
        <v>0.52283806564493074</v>
      </c>
      <c r="AK11" s="86"/>
      <c r="AL11" s="81">
        <v>52266</v>
      </c>
      <c r="AM11" s="85">
        <v>9.9763104143129298E-3</v>
      </c>
      <c r="AN11" s="86"/>
      <c r="AO11" s="81">
        <v>1908</v>
      </c>
      <c r="AP11" s="85">
        <v>3.6505567673057057E-2</v>
      </c>
      <c r="AQ11" s="86"/>
      <c r="AR11" s="82">
        <v>2124</v>
      </c>
      <c r="AS11" s="83">
        <v>4.0542003061264808E-4</v>
      </c>
      <c r="AT11" s="82">
        <v>2428640</v>
      </c>
      <c r="AU11" s="83">
        <v>0.46356841014458644</v>
      </c>
      <c r="AV11" s="82">
        <v>451596</v>
      </c>
      <c r="AW11" s="83">
        <v>8.6198711932462063E-2</v>
      </c>
      <c r="AX11" s="82">
        <v>19856</v>
      </c>
      <c r="AY11" s="83">
        <v>3.7900283087781263E-3</v>
      </c>
      <c r="AZ11" s="87"/>
      <c r="BA11" s="88"/>
      <c r="BB11" s="89"/>
      <c r="BS11" s="90"/>
      <c r="BT11" s="91"/>
    </row>
    <row r="12" spans="1:72" ht="17.100000000000001" customHeight="1">
      <c r="A12" s="92" t="s">
        <v>226</v>
      </c>
      <c r="B12" s="93">
        <v>39561</v>
      </c>
      <c r="C12" s="94">
        <v>8960</v>
      </c>
      <c r="D12" s="95">
        <v>0.36760482481332568</v>
      </c>
      <c r="E12" s="96">
        <v>12070</v>
      </c>
      <c r="F12" s="95">
        <v>0.49519980306884387</v>
      </c>
      <c r="G12" s="94">
        <v>1119</v>
      </c>
      <c r="H12" s="95">
        <v>4.5909575777467793E-2</v>
      </c>
      <c r="I12" s="94">
        <v>274</v>
      </c>
      <c r="J12" s="95">
        <v>1.1241486830228933E-2</v>
      </c>
      <c r="K12" s="94">
        <v>196</v>
      </c>
      <c r="L12" s="95">
        <v>8.0413555427914993E-3</v>
      </c>
      <c r="M12" s="94">
        <v>135</v>
      </c>
      <c r="N12" s="95">
        <v>5.5386887667186347E-3</v>
      </c>
      <c r="O12" s="94">
        <v>144</v>
      </c>
      <c r="P12" s="95">
        <v>5.907934684499877E-3</v>
      </c>
      <c r="Q12" s="94">
        <v>104</v>
      </c>
      <c r="R12" s="95">
        <v>4.2668417165832445E-3</v>
      </c>
      <c r="S12" s="94">
        <v>20</v>
      </c>
      <c r="T12" s="95">
        <v>8.2054648395831625E-4</v>
      </c>
      <c r="U12" s="97"/>
      <c r="V12" s="98"/>
      <c r="W12" s="94">
        <v>226</v>
      </c>
      <c r="X12" s="95">
        <v>9.2721752687289737E-3</v>
      </c>
      <c r="Y12" s="94">
        <v>63</v>
      </c>
      <c r="Z12" s="95">
        <v>2.5847214244686962E-3</v>
      </c>
      <c r="AA12" s="99"/>
      <c r="AB12" s="98"/>
      <c r="AC12" s="94">
        <v>34</v>
      </c>
      <c r="AD12" s="95">
        <v>1.3949290227291376E-3</v>
      </c>
      <c r="AE12" s="100">
        <v>23345</v>
      </c>
      <c r="AF12" s="95">
        <v>0.95778288340034468</v>
      </c>
      <c r="AG12" s="94">
        <v>1029</v>
      </c>
      <c r="AH12" s="95">
        <v>4.2217116599655373E-2</v>
      </c>
      <c r="AI12" s="101">
        <v>24374</v>
      </c>
      <c r="AJ12" s="102">
        <v>0.61611182730466874</v>
      </c>
      <c r="AL12" s="103">
        <v>0</v>
      </c>
      <c r="AM12" s="102">
        <v>0</v>
      </c>
      <c r="AO12" s="103">
        <v>0</v>
      </c>
      <c r="AP12" s="102">
        <v>0</v>
      </c>
      <c r="AR12" s="104"/>
      <c r="AS12" s="98"/>
      <c r="AT12" s="105">
        <v>12760</v>
      </c>
      <c r="AU12" s="95">
        <v>0.52350865676540581</v>
      </c>
      <c r="AV12" s="100">
        <v>1456</v>
      </c>
      <c r="AW12" s="95">
        <v>5.9735784032165423E-2</v>
      </c>
      <c r="AX12" s="97"/>
      <c r="AY12" s="98"/>
      <c r="AZ12" s="106" t="s">
        <v>203</v>
      </c>
      <c r="BA12" s="100">
        <v>12760</v>
      </c>
      <c r="BB12" s="107">
        <v>0.52350865676540581</v>
      </c>
      <c r="BC12" s="108">
        <v>2</v>
      </c>
      <c r="BD12" s="108"/>
      <c r="BE12" s="108"/>
      <c r="BF12" s="108"/>
      <c r="BG12" s="108"/>
      <c r="BH12" s="108">
        <v>4</v>
      </c>
      <c r="BI12" s="108"/>
      <c r="BJ12" s="108"/>
      <c r="BK12" s="108"/>
      <c r="BL12" s="108"/>
      <c r="BM12" s="108">
        <v>1</v>
      </c>
      <c r="BN12" s="108">
        <v>3</v>
      </c>
      <c r="BO12" s="108"/>
      <c r="BP12" s="106" t="s">
        <v>7</v>
      </c>
      <c r="BQ12" s="100">
        <v>8960</v>
      </c>
      <c r="BR12" s="109">
        <v>0.36760482481332568</v>
      </c>
      <c r="BS12" s="100">
        <v>3800</v>
      </c>
      <c r="BT12" s="110">
        <v>0.15590383195208013</v>
      </c>
    </row>
    <row r="13" spans="1:72" ht="17.100000000000001" customHeight="1">
      <c r="A13" s="111" t="s">
        <v>227</v>
      </c>
      <c r="B13" s="112">
        <v>56399</v>
      </c>
      <c r="C13" s="113">
        <v>2672</v>
      </c>
      <c r="D13" s="114">
        <v>7.9713603818615753E-2</v>
      </c>
      <c r="E13" s="115">
        <v>16870</v>
      </c>
      <c r="F13" s="114">
        <v>0.50328162291169454</v>
      </c>
      <c r="G13" s="113">
        <v>9947</v>
      </c>
      <c r="H13" s="114">
        <v>0.29674821002386637</v>
      </c>
      <c r="I13" s="113">
        <v>954</v>
      </c>
      <c r="J13" s="114">
        <v>2.8460620525059665E-2</v>
      </c>
      <c r="K13" s="113">
        <v>535</v>
      </c>
      <c r="L13" s="114">
        <v>1.5960620525059664E-2</v>
      </c>
      <c r="M13" s="113">
        <v>759</v>
      </c>
      <c r="N13" s="114">
        <v>2.2643198090692124E-2</v>
      </c>
      <c r="O13" s="113">
        <v>388</v>
      </c>
      <c r="P13" s="114">
        <v>1.1575178997613365E-2</v>
      </c>
      <c r="Q13" s="113">
        <v>103</v>
      </c>
      <c r="R13" s="114">
        <v>3.0727923627684962E-3</v>
      </c>
      <c r="S13" s="113">
        <v>53</v>
      </c>
      <c r="T13" s="114">
        <v>1.581145584725537E-3</v>
      </c>
      <c r="U13" s="116"/>
      <c r="V13" s="117"/>
      <c r="W13" s="113">
        <v>183</v>
      </c>
      <c r="X13" s="114">
        <v>5.4594272076372314E-3</v>
      </c>
      <c r="Y13" s="118"/>
      <c r="Z13" s="117"/>
      <c r="AA13" s="118"/>
      <c r="AB13" s="117"/>
      <c r="AC13" s="113">
        <v>19</v>
      </c>
      <c r="AD13" s="114">
        <v>5.6682577565632462E-4</v>
      </c>
      <c r="AE13" s="119">
        <v>32483</v>
      </c>
      <c r="AF13" s="114">
        <v>0.96906324582338899</v>
      </c>
      <c r="AG13" s="113">
        <v>1037</v>
      </c>
      <c r="AH13" s="114">
        <v>3.093675417661098E-2</v>
      </c>
      <c r="AI13" s="119">
        <v>33520</v>
      </c>
      <c r="AJ13" s="120">
        <v>0.59433677902090465</v>
      </c>
      <c r="AL13" s="121">
        <v>0</v>
      </c>
      <c r="AM13" s="120">
        <v>0</v>
      </c>
      <c r="AO13" s="121">
        <v>0</v>
      </c>
      <c r="AP13" s="120">
        <v>0</v>
      </c>
      <c r="AR13" s="122"/>
      <c r="AS13" s="117"/>
      <c r="AT13" s="123">
        <v>18132</v>
      </c>
      <c r="AU13" s="114">
        <v>0.54093078758949875</v>
      </c>
      <c r="AV13" s="116"/>
      <c r="AW13" s="117"/>
      <c r="AX13" s="116"/>
      <c r="AY13" s="117"/>
      <c r="AZ13" s="124" t="s">
        <v>203</v>
      </c>
      <c r="BA13" s="119">
        <v>18132</v>
      </c>
      <c r="BB13" s="125">
        <v>0.54093078758949875</v>
      </c>
      <c r="BC13" s="126">
        <v>3</v>
      </c>
      <c r="BD13" s="126"/>
      <c r="BE13" s="126">
        <v>2</v>
      </c>
      <c r="BF13" s="126">
        <v>4</v>
      </c>
      <c r="BG13" s="126"/>
      <c r="BH13" s="126">
        <v>5</v>
      </c>
      <c r="BI13" s="126"/>
      <c r="BJ13" s="126"/>
      <c r="BK13" s="126"/>
      <c r="BL13" s="126"/>
      <c r="BM13" s="126">
        <v>1</v>
      </c>
      <c r="BN13" s="126"/>
      <c r="BO13" s="126"/>
      <c r="BP13" s="124" t="s">
        <v>10</v>
      </c>
      <c r="BQ13" s="119">
        <v>9947</v>
      </c>
      <c r="BR13" s="114">
        <v>0.29674821002386637</v>
      </c>
      <c r="BS13" s="119">
        <v>8185</v>
      </c>
      <c r="BT13" s="127">
        <v>0.24418257756563239</v>
      </c>
    </row>
    <row r="14" spans="1:72" ht="17.100000000000001" customHeight="1">
      <c r="A14" s="111" t="s">
        <v>228</v>
      </c>
      <c r="B14" s="112">
        <v>26241</v>
      </c>
      <c r="C14" s="113">
        <v>2465</v>
      </c>
      <c r="D14" s="114">
        <v>0.12787922805561319</v>
      </c>
      <c r="E14" s="115">
        <v>8773</v>
      </c>
      <c r="F14" s="114">
        <v>0.45512554471882133</v>
      </c>
      <c r="G14" s="113">
        <v>5734</v>
      </c>
      <c r="H14" s="114">
        <v>0.29746835443037972</v>
      </c>
      <c r="I14" s="113">
        <v>209</v>
      </c>
      <c r="J14" s="114">
        <v>1.084249844366051E-2</v>
      </c>
      <c r="K14" s="113">
        <v>100</v>
      </c>
      <c r="L14" s="114">
        <v>5.1877982984021584E-3</v>
      </c>
      <c r="M14" s="113">
        <v>131</v>
      </c>
      <c r="N14" s="114">
        <v>6.796015770906827E-3</v>
      </c>
      <c r="O14" s="113">
        <v>225</v>
      </c>
      <c r="P14" s="114">
        <v>1.1672546171404856E-2</v>
      </c>
      <c r="Q14" s="113">
        <v>31</v>
      </c>
      <c r="R14" s="114">
        <v>1.608217472504669E-3</v>
      </c>
      <c r="S14" s="113">
        <v>6</v>
      </c>
      <c r="T14" s="114">
        <v>3.1126789790412947E-4</v>
      </c>
      <c r="U14" s="116"/>
      <c r="V14" s="117"/>
      <c r="W14" s="113">
        <v>204</v>
      </c>
      <c r="X14" s="114">
        <v>1.0583108528740403E-2</v>
      </c>
      <c r="Y14" s="118"/>
      <c r="Z14" s="117"/>
      <c r="AA14" s="118"/>
      <c r="AB14" s="117"/>
      <c r="AC14" s="113">
        <v>36</v>
      </c>
      <c r="AD14" s="114">
        <v>1.867607387424777E-3</v>
      </c>
      <c r="AE14" s="119">
        <v>17914</v>
      </c>
      <c r="AF14" s="114">
        <v>0.92934218717576256</v>
      </c>
      <c r="AG14" s="113">
        <v>848</v>
      </c>
      <c r="AH14" s="114">
        <v>4.3992529570450301E-2</v>
      </c>
      <c r="AI14" s="119">
        <v>19276</v>
      </c>
      <c r="AJ14" s="120">
        <v>0.73457566403719365</v>
      </c>
      <c r="AL14" s="121">
        <v>514</v>
      </c>
      <c r="AM14" s="120">
        <v>2.6665283253787093E-2</v>
      </c>
      <c r="AO14" s="121">
        <v>0</v>
      </c>
      <c r="AP14" s="120">
        <v>0</v>
      </c>
      <c r="AR14" s="122"/>
      <c r="AS14" s="117"/>
      <c r="AT14" s="123">
        <v>9339</v>
      </c>
      <c r="AU14" s="114">
        <v>0.48448848308777753</v>
      </c>
      <c r="AV14" s="116"/>
      <c r="AW14" s="117"/>
      <c r="AX14" s="116"/>
      <c r="AY14" s="117"/>
      <c r="AZ14" s="124" t="s">
        <v>203</v>
      </c>
      <c r="BA14" s="119">
        <v>9339</v>
      </c>
      <c r="BB14" s="125">
        <v>0.48448848308777753</v>
      </c>
      <c r="BC14" s="126">
        <v>3</v>
      </c>
      <c r="BD14" s="126"/>
      <c r="BE14" s="126">
        <v>2</v>
      </c>
      <c r="BF14" s="126">
        <v>4</v>
      </c>
      <c r="BG14" s="126"/>
      <c r="BH14" s="126">
        <v>5</v>
      </c>
      <c r="BI14" s="126"/>
      <c r="BJ14" s="126"/>
      <c r="BK14" s="126"/>
      <c r="BL14" s="126"/>
      <c r="BM14" s="126">
        <v>1</v>
      </c>
      <c r="BN14" s="126"/>
      <c r="BO14" s="126"/>
      <c r="BP14" s="124" t="s">
        <v>10</v>
      </c>
      <c r="BQ14" s="119">
        <v>5734</v>
      </c>
      <c r="BR14" s="114">
        <v>0.29746835443037972</v>
      </c>
      <c r="BS14" s="119">
        <v>3605</v>
      </c>
      <c r="BT14" s="127">
        <v>0.18702012865739781</v>
      </c>
    </row>
    <row r="15" spans="1:72" ht="17.100000000000001" customHeight="1">
      <c r="A15" s="111" t="s">
        <v>229</v>
      </c>
      <c r="B15" s="112">
        <v>10593</v>
      </c>
      <c r="C15" s="113">
        <v>4154</v>
      </c>
      <c r="D15" s="114">
        <v>0.57630410654827968</v>
      </c>
      <c r="E15" s="115">
        <v>2637</v>
      </c>
      <c r="F15" s="114">
        <v>0.36584350721420644</v>
      </c>
      <c r="G15" s="113">
        <v>15</v>
      </c>
      <c r="H15" s="114">
        <v>2.0810210876803553E-3</v>
      </c>
      <c r="I15" s="113">
        <v>33</v>
      </c>
      <c r="J15" s="114">
        <v>4.5782463928967813E-3</v>
      </c>
      <c r="K15" s="113">
        <v>9</v>
      </c>
      <c r="L15" s="114">
        <v>1.2486126526082132E-3</v>
      </c>
      <c r="M15" s="113">
        <v>47</v>
      </c>
      <c r="N15" s="114">
        <v>6.520532741398446E-3</v>
      </c>
      <c r="O15" s="113">
        <v>30</v>
      </c>
      <c r="P15" s="114">
        <v>4.1620421753607107E-3</v>
      </c>
      <c r="Q15" s="113">
        <v>5</v>
      </c>
      <c r="R15" s="114">
        <v>6.9367369589345171E-4</v>
      </c>
      <c r="S15" s="113">
        <v>1</v>
      </c>
      <c r="T15" s="114">
        <v>1.3873473917869035E-4</v>
      </c>
      <c r="U15" s="116"/>
      <c r="V15" s="117"/>
      <c r="W15" s="113">
        <v>39</v>
      </c>
      <c r="X15" s="114">
        <v>5.4106548279689234E-3</v>
      </c>
      <c r="Y15" s="113">
        <v>0</v>
      </c>
      <c r="Z15" s="114">
        <v>0</v>
      </c>
      <c r="AA15" s="118"/>
      <c r="AB15" s="117"/>
      <c r="AC15" s="113">
        <v>8</v>
      </c>
      <c r="AD15" s="114">
        <v>1.1098779134295228E-3</v>
      </c>
      <c r="AE15" s="119">
        <v>6978</v>
      </c>
      <c r="AF15" s="114">
        <v>0.96809100998890119</v>
      </c>
      <c r="AG15" s="113">
        <v>230</v>
      </c>
      <c r="AH15" s="114">
        <v>3.190899001109878E-2</v>
      </c>
      <c r="AI15" s="119">
        <v>7208</v>
      </c>
      <c r="AJ15" s="120">
        <v>0.68044935334654966</v>
      </c>
      <c r="AL15" s="121">
        <v>0</v>
      </c>
      <c r="AM15" s="120">
        <v>0</v>
      </c>
      <c r="AO15" s="121">
        <v>0</v>
      </c>
      <c r="AP15" s="120">
        <v>0</v>
      </c>
      <c r="AR15" s="122"/>
      <c r="AS15" s="117"/>
      <c r="AT15" s="123">
        <v>2721</v>
      </c>
      <c r="AU15" s="114">
        <v>0.3774972253052164</v>
      </c>
      <c r="AV15" s="119">
        <v>48</v>
      </c>
      <c r="AW15" s="114">
        <v>6.6592674805771362E-3</v>
      </c>
      <c r="AX15" s="116"/>
      <c r="AY15" s="117"/>
      <c r="AZ15" s="124" t="s">
        <v>7</v>
      </c>
      <c r="BA15" s="119">
        <v>4154</v>
      </c>
      <c r="BB15" s="125">
        <v>0.57630410654827968</v>
      </c>
      <c r="BC15" s="126">
        <v>1</v>
      </c>
      <c r="BD15" s="126"/>
      <c r="BE15" s="126"/>
      <c r="BF15" s="126"/>
      <c r="BG15" s="126"/>
      <c r="BH15" s="126">
        <v>4</v>
      </c>
      <c r="BI15" s="126"/>
      <c r="BJ15" s="126"/>
      <c r="BK15" s="126"/>
      <c r="BL15" s="126"/>
      <c r="BM15" s="126">
        <v>2</v>
      </c>
      <c r="BN15" s="126">
        <v>3</v>
      </c>
      <c r="BO15" s="126"/>
      <c r="BP15" s="124" t="s">
        <v>203</v>
      </c>
      <c r="BQ15" s="119">
        <v>2721</v>
      </c>
      <c r="BR15" s="128">
        <v>0.3774972253052164</v>
      </c>
      <c r="BS15" s="119">
        <v>1433</v>
      </c>
      <c r="BT15" s="127">
        <v>0.19880688124306328</v>
      </c>
    </row>
    <row r="16" spans="1:72" ht="17.100000000000001" customHeight="1">
      <c r="A16" s="129" t="s">
        <v>230</v>
      </c>
      <c r="B16" s="112">
        <v>84917</v>
      </c>
      <c r="C16" s="113">
        <v>5550</v>
      </c>
      <c r="D16" s="114">
        <v>0.10108553110884452</v>
      </c>
      <c r="E16" s="115">
        <v>17432</v>
      </c>
      <c r="F16" s="114">
        <v>0.31749963572781581</v>
      </c>
      <c r="G16" s="113">
        <v>9702</v>
      </c>
      <c r="H16" s="114">
        <v>0.17670843654378551</v>
      </c>
      <c r="I16" s="113">
        <v>14143</v>
      </c>
      <c r="J16" s="114">
        <v>0.25759507504006995</v>
      </c>
      <c r="K16" s="113">
        <v>659</v>
      </c>
      <c r="L16" s="114">
        <v>1.2002768468599738E-2</v>
      </c>
      <c r="M16" s="113">
        <v>3977</v>
      </c>
      <c r="N16" s="114">
        <v>7.2435523823400849E-2</v>
      </c>
      <c r="O16" s="113">
        <v>249</v>
      </c>
      <c r="P16" s="114">
        <v>4.5351886929914029E-3</v>
      </c>
      <c r="Q16" s="113">
        <v>165</v>
      </c>
      <c r="R16" s="114">
        <v>3.0052455194521347E-3</v>
      </c>
      <c r="S16" s="113">
        <v>85</v>
      </c>
      <c r="T16" s="114">
        <v>1.5481567827480695E-3</v>
      </c>
      <c r="U16" s="116"/>
      <c r="V16" s="117"/>
      <c r="W16" s="113">
        <v>419</v>
      </c>
      <c r="X16" s="114">
        <v>7.6315022584875422E-3</v>
      </c>
      <c r="Y16" s="118"/>
      <c r="Z16" s="117"/>
      <c r="AA16" s="118"/>
      <c r="AB16" s="117"/>
      <c r="AC16" s="113">
        <v>54</v>
      </c>
      <c r="AD16" s="114">
        <v>9.8353489727524401E-4</v>
      </c>
      <c r="AE16" s="119">
        <v>52435</v>
      </c>
      <c r="AF16" s="114">
        <v>0.95503059886347075</v>
      </c>
      <c r="AG16" s="113">
        <v>2469</v>
      </c>
      <c r="AH16" s="114">
        <v>4.4969401136529218E-2</v>
      </c>
      <c r="AI16" s="119">
        <v>54904</v>
      </c>
      <c r="AJ16" s="120">
        <v>0.64656075932969836</v>
      </c>
      <c r="AL16" s="121">
        <v>0</v>
      </c>
      <c r="AM16" s="120">
        <v>0</v>
      </c>
      <c r="AO16" s="121">
        <v>0</v>
      </c>
      <c r="AP16" s="120">
        <v>0</v>
      </c>
      <c r="AR16" s="122"/>
      <c r="AS16" s="117"/>
      <c r="AT16" s="123">
        <v>19009</v>
      </c>
      <c r="AU16" s="114">
        <v>0.3462224974500947</v>
      </c>
      <c r="AV16" s="116"/>
      <c r="AW16" s="117"/>
      <c r="AX16" s="116"/>
      <c r="AY16" s="117"/>
      <c r="AZ16" s="124" t="s">
        <v>203</v>
      </c>
      <c r="BA16" s="119">
        <v>19009</v>
      </c>
      <c r="BB16" s="125">
        <v>0.3462224974500947</v>
      </c>
      <c r="BC16" s="126">
        <v>4</v>
      </c>
      <c r="BD16" s="126"/>
      <c r="BE16" s="126">
        <v>3</v>
      </c>
      <c r="BF16" s="126">
        <v>2</v>
      </c>
      <c r="BG16" s="126"/>
      <c r="BH16" s="126">
        <v>5</v>
      </c>
      <c r="BI16" s="126"/>
      <c r="BJ16" s="126"/>
      <c r="BK16" s="126"/>
      <c r="BL16" s="126"/>
      <c r="BM16" s="126">
        <v>1</v>
      </c>
      <c r="BN16" s="126"/>
      <c r="BO16" s="126"/>
      <c r="BP16" s="124" t="s">
        <v>11</v>
      </c>
      <c r="BQ16" s="119">
        <v>14143</v>
      </c>
      <c r="BR16" s="114">
        <v>0.25759507504006995</v>
      </c>
      <c r="BS16" s="119">
        <v>4866</v>
      </c>
      <c r="BT16" s="127">
        <v>8.8627422410024748E-2</v>
      </c>
    </row>
    <row r="17" spans="1:72" ht="17.100000000000001" customHeight="1">
      <c r="A17" s="130" t="s">
        <v>231</v>
      </c>
      <c r="B17" s="131">
        <v>7003</v>
      </c>
      <c r="C17" s="113">
        <v>630</v>
      </c>
      <c r="D17" s="114">
        <v>0.12851897184822522</v>
      </c>
      <c r="E17" s="115">
        <v>1198</v>
      </c>
      <c r="F17" s="114">
        <v>0.24439004487964097</v>
      </c>
      <c r="G17" s="113">
        <v>121</v>
      </c>
      <c r="H17" s="114">
        <v>2.4683802529579763E-2</v>
      </c>
      <c r="I17" s="113">
        <v>1427</v>
      </c>
      <c r="J17" s="114">
        <v>0.29110567115463076</v>
      </c>
      <c r="K17" s="113">
        <v>10</v>
      </c>
      <c r="L17" s="114">
        <v>2.0399836801305591E-3</v>
      </c>
      <c r="M17" s="113">
        <v>1311</v>
      </c>
      <c r="N17" s="114">
        <v>0.26744186046511625</v>
      </c>
      <c r="O17" s="113">
        <v>50</v>
      </c>
      <c r="P17" s="114">
        <v>1.0199918400652794E-2</v>
      </c>
      <c r="Q17" s="113">
        <v>9</v>
      </c>
      <c r="R17" s="114">
        <v>1.8359853121175031E-3</v>
      </c>
      <c r="S17" s="113">
        <v>6</v>
      </c>
      <c r="T17" s="114">
        <v>1.2239902080783353E-3</v>
      </c>
      <c r="U17" s="116"/>
      <c r="V17" s="117"/>
      <c r="W17" s="113">
        <v>13</v>
      </c>
      <c r="X17" s="114">
        <v>2.6519787841697267E-3</v>
      </c>
      <c r="Y17" s="118"/>
      <c r="Z17" s="117"/>
      <c r="AA17" s="118"/>
      <c r="AB17" s="117"/>
      <c r="AC17" s="113">
        <v>7</v>
      </c>
      <c r="AD17" s="114">
        <v>1.4279885760913912E-3</v>
      </c>
      <c r="AE17" s="119">
        <v>4782</v>
      </c>
      <c r="AF17" s="114">
        <v>0.9755201958384333</v>
      </c>
      <c r="AG17" s="113">
        <v>120</v>
      </c>
      <c r="AH17" s="114">
        <v>2.4479804161566709E-2</v>
      </c>
      <c r="AI17" s="119">
        <v>4902</v>
      </c>
      <c r="AJ17" s="120">
        <v>0.69998572040554052</v>
      </c>
      <c r="AL17" s="121">
        <v>0</v>
      </c>
      <c r="AM17" s="120">
        <v>0</v>
      </c>
      <c r="AO17" s="121">
        <v>0</v>
      </c>
      <c r="AP17" s="120">
        <v>0</v>
      </c>
      <c r="AR17" s="122"/>
      <c r="AS17" s="117"/>
      <c r="AT17" s="123">
        <v>1286</v>
      </c>
      <c r="AU17" s="114">
        <v>0.2623419012647899</v>
      </c>
      <c r="AV17" s="116"/>
      <c r="AW17" s="117"/>
      <c r="AX17" s="116"/>
      <c r="AY17" s="117"/>
      <c r="AZ17" s="124" t="s">
        <v>11</v>
      </c>
      <c r="BA17" s="119">
        <v>1427</v>
      </c>
      <c r="BB17" s="125">
        <v>0.29110567115463076</v>
      </c>
      <c r="BC17" s="126">
        <v>4</v>
      </c>
      <c r="BD17" s="126"/>
      <c r="BE17" s="126">
        <v>5</v>
      </c>
      <c r="BF17" s="126">
        <v>1</v>
      </c>
      <c r="BG17" s="126"/>
      <c r="BH17" s="126">
        <v>2</v>
      </c>
      <c r="BI17" s="126"/>
      <c r="BJ17" s="126"/>
      <c r="BK17" s="126"/>
      <c r="BL17" s="126"/>
      <c r="BM17" s="126">
        <v>3</v>
      </c>
      <c r="BN17" s="126"/>
      <c r="BO17" s="126"/>
      <c r="BP17" s="124" t="s">
        <v>199</v>
      </c>
      <c r="BQ17" s="119">
        <v>1311</v>
      </c>
      <c r="BR17" s="114">
        <v>0.26744186046511625</v>
      </c>
      <c r="BS17" s="119">
        <v>116</v>
      </c>
      <c r="BT17" s="127">
        <v>2.3663810689514508E-2</v>
      </c>
    </row>
    <row r="18" spans="1:72" ht="17.100000000000001" customHeight="1">
      <c r="A18" s="132" t="s">
        <v>232</v>
      </c>
      <c r="B18" s="112">
        <v>13744</v>
      </c>
      <c r="C18" s="113">
        <v>773</v>
      </c>
      <c r="D18" s="114">
        <v>8.3576602875986589E-2</v>
      </c>
      <c r="E18" s="115">
        <v>4264</v>
      </c>
      <c r="F18" s="114">
        <v>0.46102281327711103</v>
      </c>
      <c r="G18" s="113">
        <v>3101</v>
      </c>
      <c r="H18" s="114">
        <v>0.33527948967455939</v>
      </c>
      <c r="I18" s="113">
        <v>250</v>
      </c>
      <c r="J18" s="114">
        <v>2.7029949183695536E-2</v>
      </c>
      <c r="K18" s="113">
        <v>39</v>
      </c>
      <c r="L18" s="114">
        <v>4.2166720726565035E-3</v>
      </c>
      <c r="M18" s="113">
        <v>121</v>
      </c>
      <c r="N18" s="114">
        <v>1.3082495404908639E-2</v>
      </c>
      <c r="O18" s="113">
        <v>50</v>
      </c>
      <c r="P18" s="114">
        <v>5.4059898367391068E-3</v>
      </c>
      <c r="Q18" s="113">
        <v>16</v>
      </c>
      <c r="R18" s="114">
        <v>1.7299167477565142E-3</v>
      </c>
      <c r="S18" s="113">
        <v>8</v>
      </c>
      <c r="T18" s="114">
        <v>8.6495837387825711E-4</v>
      </c>
      <c r="U18" s="116"/>
      <c r="V18" s="117"/>
      <c r="W18" s="113">
        <v>107</v>
      </c>
      <c r="X18" s="114">
        <v>1.1568818250621688E-2</v>
      </c>
      <c r="Y18" s="118"/>
      <c r="Z18" s="117"/>
      <c r="AA18" s="118"/>
      <c r="AB18" s="117"/>
      <c r="AC18" s="113">
        <v>10</v>
      </c>
      <c r="AD18" s="114">
        <v>1.0811979673478213E-3</v>
      </c>
      <c r="AE18" s="119">
        <v>8739</v>
      </c>
      <c r="AF18" s="114">
        <v>0.94485890366526115</v>
      </c>
      <c r="AG18" s="113">
        <v>510</v>
      </c>
      <c r="AH18" s="114">
        <v>5.514109633473889E-2</v>
      </c>
      <c r="AI18" s="119">
        <v>9249</v>
      </c>
      <c r="AJ18" s="120">
        <v>0.67294819557625141</v>
      </c>
      <c r="AL18" s="121">
        <v>0</v>
      </c>
      <c r="AM18" s="120">
        <v>0</v>
      </c>
      <c r="AO18" s="121">
        <v>0</v>
      </c>
      <c r="AP18" s="120">
        <v>0</v>
      </c>
      <c r="AR18" s="122"/>
      <c r="AS18" s="117"/>
      <c r="AT18" s="123">
        <v>4484</v>
      </c>
      <c r="AU18" s="114">
        <v>0.4848091685587631</v>
      </c>
      <c r="AV18" s="116"/>
      <c r="AW18" s="117"/>
      <c r="AX18" s="116"/>
      <c r="AY18" s="117"/>
      <c r="AZ18" s="124" t="s">
        <v>203</v>
      </c>
      <c r="BA18" s="119">
        <v>4484</v>
      </c>
      <c r="BB18" s="125">
        <v>0.4848091685587631</v>
      </c>
      <c r="BC18" s="126">
        <v>3</v>
      </c>
      <c r="BD18" s="126"/>
      <c r="BE18" s="126">
        <v>2</v>
      </c>
      <c r="BF18" s="126">
        <v>4</v>
      </c>
      <c r="BG18" s="126"/>
      <c r="BH18" s="126">
        <v>5</v>
      </c>
      <c r="BI18" s="126"/>
      <c r="BJ18" s="126"/>
      <c r="BK18" s="126"/>
      <c r="BL18" s="126"/>
      <c r="BM18" s="126">
        <v>1</v>
      </c>
      <c r="BN18" s="126"/>
      <c r="BO18" s="126"/>
      <c r="BP18" s="124" t="s">
        <v>10</v>
      </c>
      <c r="BQ18" s="119">
        <v>3101</v>
      </c>
      <c r="BR18" s="114">
        <v>0.33527948967455939</v>
      </c>
      <c r="BS18" s="119">
        <v>1383</v>
      </c>
      <c r="BT18" s="127">
        <v>0.14952967888420371</v>
      </c>
    </row>
    <row r="19" spans="1:72" ht="17.100000000000001" customHeight="1">
      <c r="A19" s="111" t="s">
        <v>233</v>
      </c>
      <c r="B19" s="112">
        <v>21637</v>
      </c>
      <c r="C19" s="113">
        <v>180</v>
      </c>
      <c r="D19" s="114">
        <v>1.3244058568170113E-2</v>
      </c>
      <c r="E19" s="115">
        <v>5635</v>
      </c>
      <c r="F19" s="114">
        <v>0.41461261128688104</v>
      </c>
      <c r="G19" s="113">
        <v>5538</v>
      </c>
      <c r="H19" s="114">
        <v>0.40747553528070046</v>
      </c>
      <c r="I19" s="113">
        <v>502</v>
      </c>
      <c r="J19" s="114">
        <v>3.6936207784563316E-2</v>
      </c>
      <c r="K19" s="113">
        <v>31</v>
      </c>
      <c r="L19" s="114">
        <v>2.2809211978515194E-3</v>
      </c>
      <c r="M19" s="113">
        <v>27</v>
      </c>
      <c r="N19" s="114">
        <v>1.9866087852255169E-3</v>
      </c>
      <c r="O19" s="113">
        <v>25</v>
      </c>
      <c r="P19" s="114">
        <v>1.8394525789125157E-3</v>
      </c>
      <c r="Q19" s="113">
        <v>8</v>
      </c>
      <c r="R19" s="114">
        <v>5.8862482525200502E-4</v>
      </c>
      <c r="S19" s="113">
        <v>3</v>
      </c>
      <c r="T19" s="114">
        <v>2.2073430946950188E-4</v>
      </c>
      <c r="U19" s="116"/>
      <c r="V19" s="117"/>
      <c r="W19" s="113">
        <v>55</v>
      </c>
      <c r="X19" s="114">
        <v>4.0467956736075341E-3</v>
      </c>
      <c r="Y19" s="118"/>
      <c r="Z19" s="117"/>
      <c r="AA19" s="118"/>
      <c r="AB19" s="117"/>
      <c r="AC19" s="113">
        <v>3</v>
      </c>
      <c r="AD19" s="114">
        <v>2.2073430946950188E-4</v>
      </c>
      <c r="AE19" s="119">
        <v>12007</v>
      </c>
      <c r="AF19" s="114">
        <v>0.88345228460010305</v>
      </c>
      <c r="AG19" s="113">
        <v>381</v>
      </c>
      <c r="AH19" s="114">
        <v>2.8033257302626739E-2</v>
      </c>
      <c r="AI19" s="119">
        <v>13591</v>
      </c>
      <c r="AJ19" s="120">
        <v>0.62813698756759251</v>
      </c>
      <c r="AL19" s="121">
        <v>1203</v>
      </c>
      <c r="AM19" s="120">
        <v>8.8514458097270252E-2</v>
      </c>
      <c r="AO19" s="121">
        <v>0</v>
      </c>
      <c r="AP19" s="120">
        <v>0</v>
      </c>
      <c r="AR19" s="122"/>
      <c r="AS19" s="117"/>
      <c r="AT19" s="123">
        <v>5757</v>
      </c>
      <c r="AU19" s="114">
        <v>0.42358913987197411</v>
      </c>
      <c r="AV19" s="116"/>
      <c r="AW19" s="117"/>
      <c r="AX19" s="116"/>
      <c r="AY19" s="117"/>
      <c r="AZ19" s="124" t="s">
        <v>203</v>
      </c>
      <c r="BA19" s="119">
        <v>5757</v>
      </c>
      <c r="BB19" s="125">
        <v>0.42358913987197411</v>
      </c>
      <c r="BC19" s="126">
        <v>4</v>
      </c>
      <c r="BD19" s="126"/>
      <c r="BE19" s="126">
        <v>2</v>
      </c>
      <c r="BF19" s="126">
        <v>3</v>
      </c>
      <c r="BG19" s="126"/>
      <c r="BH19" s="126">
        <v>5</v>
      </c>
      <c r="BI19" s="126"/>
      <c r="BJ19" s="126"/>
      <c r="BK19" s="126"/>
      <c r="BL19" s="126"/>
      <c r="BM19" s="126">
        <v>1</v>
      </c>
      <c r="BN19" s="126"/>
      <c r="BO19" s="126"/>
      <c r="BP19" s="124" t="s">
        <v>10</v>
      </c>
      <c r="BQ19" s="119">
        <v>5538</v>
      </c>
      <c r="BR19" s="114">
        <v>0.40747553528070046</v>
      </c>
      <c r="BS19" s="119">
        <v>219</v>
      </c>
      <c r="BT19" s="127">
        <v>1.6113604591273645E-2</v>
      </c>
    </row>
    <row r="20" spans="1:72" ht="17.100000000000001" customHeight="1">
      <c r="A20" s="111" t="s">
        <v>234</v>
      </c>
      <c r="B20" s="112">
        <v>34518</v>
      </c>
      <c r="C20" s="113">
        <v>2394</v>
      </c>
      <c r="D20" s="114">
        <v>0.11039889324417801</v>
      </c>
      <c r="E20" s="115">
        <v>8561</v>
      </c>
      <c r="F20" s="114">
        <v>0.39478902467143184</v>
      </c>
      <c r="G20" s="113">
        <v>4271</v>
      </c>
      <c r="H20" s="114">
        <v>0.19695642148950887</v>
      </c>
      <c r="I20" s="113">
        <v>995</v>
      </c>
      <c r="J20" s="114">
        <v>4.5884251786949506E-2</v>
      </c>
      <c r="K20" s="113">
        <v>360</v>
      </c>
      <c r="L20" s="114">
        <v>1.6601337329951581E-2</v>
      </c>
      <c r="M20" s="113">
        <v>3770</v>
      </c>
      <c r="N20" s="114">
        <v>0.17385289370532625</v>
      </c>
      <c r="O20" s="113">
        <v>155</v>
      </c>
      <c r="P20" s="114">
        <v>7.1477980170624855E-3</v>
      </c>
      <c r="Q20" s="113">
        <v>100</v>
      </c>
      <c r="R20" s="114">
        <v>4.6114825916532161E-3</v>
      </c>
      <c r="S20" s="113">
        <v>74</v>
      </c>
      <c r="T20" s="114">
        <v>3.4124971178233804E-3</v>
      </c>
      <c r="U20" s="116"/>
      <c r="V20" s="117"/>
      <c r="W20" s="113">
        <v>78</v>
      </c>
      <c r="X20" s="114">
        <v>3.5969564214895088E-3</v>
      </c>
      <c r="Y20" s="118"/>
      <c r="Z20" s="117"/>
      <c r="AA20" s="118"/>
      <c r="AB20" s="117"/>
      <c r="AC20" s="113">
        <v>12</v>
      </c>
      <c r="AD20" s="114">
        <v>5.5337791099838596E-4</v>
      </c>
      <c r="AE20" s="119">
        <v>20770</v>
      </c>
      <c r="AF20" s="114">
        <v>0.95780493428637303</v>
      </c>
      <c r="AG20" s="113">
        <v>915</v>
      </c>
      <c r="AH20" s="114">
        <v>4.2195065713626932E-2</v>
      </c>
      <c r="AI20" s="119">
        <v>21685</v>
      </c>
      <c r="AJ20" s="120">
        <v>0.62822295613882617</v>
      </c>
      <c r="AL20" s="121">
        <v>0</v>
      </c>
      <c r="AM20" s="120">
        <v>0</v>
      </c>
      <c r="AO20" s="121">
        <v>0</v>
      </c>
      <c r="AP20" s="120">
        <v>0</v>
      </c>
      <c r="AR20" s="122"/>
      <c r="AS20" s="117"/>
      <c r="AT20" s="123">
        <v>9328</v>
      </c>
      <c r="AU20" s="114">
        <v>0.43015909614941206</v>
      </c>
      <c r="AV20" s="116"/>
      <c r="AW20" s="117"/>
      <c r="AX20" s="116"/>
      <c r="AY20" s="117"/>
      <c r="AZ20" s="124" t="s">
        <v>203</v>
      </c>
      <c r="BA20" s="119">
        <v>9328</v>
      </c>
      <c r="BB20" s="125">
        <v>0.43015909614941206</v>
      </c>
      <c r="BC20" s="126">
        <v>4</v>
      </c>
      <c r="BD20" s="126"/>
      <c r="BE20" s="126">
        <v>2</v>
      </c>
      <c r="BF20" s="126">
        <v>5</v>
      </c>
      <c r="BG20" s="126"/>
      <c r="BH20" s="126">
        <v>3</v>
      </c>
      <c r="BI20" s="126"/>
      <c r="BJ20" s="126"/>
      <c r="BK20" s="126"/>
      <c r="BL20" s="126"/>
      <c r="BM20" s="126">
        <v>1</v>
      </c>
      <c r="BN20" s="126"/>
      <c r="BO20" s="126"/>
      <c r="BP20" s="124" t="s">
        <v>10</v>
      </c>
      <c r="BQ20" s="119">
        <v>4271</v>
      </c>
      <c r="BR20" s="114">
        <v>0.19695642148950887</v>
      </c>
      <c r="BS20" s="119">
        <v>5057</v>
      </c>
      <c r="BT20" s="127">
        <v>0.23320267465990319</v>
      </c>
    </row>
    <row r="21" spans="1:72" ht="17.100000000000001" customHeight="1">
      <c r="A21" s="111" t="s">
        <v>235</v>
      </c>
      <c r="B21" s="112">
        <v>17425</v>
      </c>
      <c r="C21" s="113">
        <v>4350</v>
      </c>
      <c r="D21" s="114">
        <v>0.38954061072803797</v>
      </c>
      <c r="E21" s="115">
        <v>3567</v>
      </c>
      <c r="F21" s="114">
        <v>0.31942330079699116</v>
      </c>
      <c r="G21" s="113">
        <v>565</v>
      </c>
      <c r="H21" s="114">
        <v>5.0595504611802636E-2</v>
      </c>
      <c r="I21" s="113">
        <v>1627</v>
      </c>
      <c r="J21" s="114">
        <v>0.14569714336885467</v>
      </c>
      <c r="K21" s="113">
        <v>65</v>
      </c>
      <c r="L21" s="114">
        <v>5.8207217694994182E-3</v>
      </c>
      <c r="M21" s="113">
        <v>106</v>
      </c>
      <c r="N21" s="114">
        <v>9.4922539625682811E-3</v>
      </c>
      <c r="O21" s="113">
        <v>91</v>
      </c>
      <c r="P21" s="114">
        <v>8.1490104772991845E-3</v>
      </c>
      <c r="Q21" s="113">
        <v>27</v>
      </c>
      <c r="R21" s="114">
        <v>2.4178382734843734E-3</v>
      </c>
      <c r="S21" s="113">
        <v>10</v>
      </c>
      <c r="T21" s="114">
        <v>8.9549565684606425E-4</v>
      </c>
      <c r="U21" s="116"/>
      <c r="V21" s="117"/>
      <c r="W21" s="113">
        <v>66</v>
      </c>
      <c r="X21" s="114">
        <v>5.9102713351840246E-3</v>
      </c>
      <c r="Y21" s="118"/>
      <c r="Z21" s="117"/>
      <c r="AA21" s="118"/>
      <c r="AB21" s="117"/>
      <c r="AC21" s="113">
        <v>9</v>
      </c>
      <c r="AD21" s="114">
        <v>8.0594609116145782E-4</v>
      </c>
      <c r="AE21" s="119">
        <v>10483</v>
      </c>
      <c r="AF21" s="114">
        <v>0.93874809707172924</v>
      </c>
      <c r="AG21" s="113">
        <v>544</v>
      </c>
      <c r="AH21" s="114">
        <v>4.8714963732425898E-2</v>
      </c>
      <c r="AI21" s="119">
        <v>11167</v>
      </c>
      <c r="AJ21" s="120">
        <v>0.64086083213773315</v>
      </c>
      <c r="AL21" s="121">
        <v>140</v>
      </c>
      <c r="AM21" s="120">
        <v>1.25369391958449E-2</v>
      </c>
      <c r="AO21" s="121">
        <v>0</v>
      </c>
      <c r="AP21" s="120">
        <v>0</v>
      </c>
      <c r="AR21" s="122"/>
      <c r="AS21" s="117"/>
      <c r="AT21" s="123">
        <v>3826</v>
      </c>
      <c r="AU21" s="114">
        <v>0.34261663830930422</v>
      </c>
      <c r="AV21" s="116"/>
      <c r="AW21" s="117"/>
      <c r="AX21" s="116"/>
      <c r="AY21" s="117"/>
      <c r="AZ21" s="124" t="s">
        <v>7</v>
      </c>
      <c r="BA21" s="119">
        <v>4350</v>
      </c>
      <c r="BB21" s="125">
        <v>0.38954061072803797</v>
      </c>
      <c r="BC21" s="126">
        <v>1</v>
      </c>
      <c r="BD21" s="126"/>
      <c r="BE21" s="126">
        <v>4</v>
      </c>
      <c r="BF21" s="126">
        <v>3</v>
      </c>
      <c r="BG21" s="126"/>
      <c r="BH21" s="126">
        <v>5</v>
      </c>
      <c r="BI21" s="126"/>
      <c r="BJ21" s="126"/>
      <c r="BK21" s="126"/>
      <c r="BL21" s="126"/>
      <c r="BM21" s="126">
        <v>2</v>
      </c>
      <c r="BN21" s="126"/>
      <c r="BO21" s="126"/>
      <c r="BP21" s="124" t="s">
        <v>203</v>
      </c>
      <c r="BQ21" s="119">
        <v>3826</v>
      </c>
      <c r="BR21" s="114">
        <v>0.34261663830930422</v>
      </c>
      <c r="BS21" s="119">
        <v>524</v>
      </c>
      <c r="BT21" s="127">
        <v>4.692397241873375E-2</v>
      </c>
    </row>
    <row r="22" spans="1:72" ht="17.100000000000001" customHeight="1">
      <c r="A22" s="111" t="s">
        <v>236</v>
      </c>
      <c r="B22" s="112">
        <v>27411</v>
      </c>
      <c r="C22" s="113">
        <v>740</v>
      </c>
      <c r="D22" s="114">
        <v>4.5376502330144716E-2</v>
      </c>
      <c r="E22" s="115">
        <v>5448</v>
      </c>
      <c r="F22" s="114">
        <v>0.33406916850625462</v>
      </c>
      <c r="G22" s="113">
        <v>1589</v>
      </c>
      <c r="H22" s="114">
        <v>9.7436840814324258E-2</v>
      </c>
      <c r="I22" s="113">
        <v>2529</v>
      </c>
      <c r="J22" s="114">
        <v>0.15507726269315672</v>
      </c>
      <c r="K22" s="113">
        <v>182</v>
      </c>
      <c r="L22" s="114">
        <v>1.1160166789305863E-2</v>
      </c>
      <c r="M22" s="113">
        <v>4963</v>
      </c>
      <c r="N22" s="114">
        <v>0.30432916360068679</v>
      </c>
      <c r="O22" s="113">
        <v>169</v>
      </c>
      <c r="P22" s="114">
        <v>1.0363012018641158E-2</v>
      </c>
      <c r="Q22" s="113">
        <v>59</v>
      </c>
      <c r="R22" s="114">
        <v>3.6178562668628894E-3</v>
      </c>
      <c r="S22" s="113">
        <v>13</v>
      </c>
      <c r="T22" s="114">
        <v>7.9715477066470447E-4</v>
      </c>
      <c r="U22" s="116"/>
      <c r="V22" s="117"/>
      <c r="W22" s="113">
        <v>74</v>
      </c>
      <c r="X22" s="114">
        <v>4.5376502330144713E-3</v>
      </c>
      <c r="Y22" s="118"/>
      <c r="Z22" s="117"/>
      <c r="AA22" s="118"/>
      <c r="AB22" s="117"/>
      <c r="AC22" s="113">
        <v>20</v>
      </c>
      <c r="AD22" s="114">
        <v>1.2263919548687761E-3</v>
      </c>
      <c r="AE22" s="119">
        <v>15786</v>
      </c>
      <c r="AF22" s="114">
        <v>0.96799116997792489</v>
      </c>
      <c r="AG22" s="113">
        <v>522</v>
      </c>
      <c r="AH22" s="114">
        <v>3.2008830022075052E-2</v>
      </c>
      <c r="AI22" s="119">
        <v>16308</v>
      </c>
      <c r="AJ22" s="120">
        <v>0.59494363576666298</v>
      </c>
      <c r="AL22" s="121">
        <v>0</v>
      </c>
      <c r="AM22" s="120">
        <v>0</v>
      </c>
      <c r="AO22" s="121">
        <v>0</v>
      </c>
      <c r="AP22" s="120">
        <v>0</v>
      </c>
      <c r="AR22" s="122"/>
      <c r="AS22" s="117"/>
      <c r="AT22" s="123">
        <v>5945</v>
      </c>
      <c r="AU22" s="114">
        <v>0.3645450085847437</v>
      </c>
      <c r="AV22" s="116"/>
      <c r="AW22" s="117"/>
      <c r="AX22" s="116"/>
      <c r="AY22" s="117"/>
      <c r="AZ22" s="124" t="s">
        <v>203</v>
      </c>
      <c r="BA22" s="119">
        <v>5945</v>
      </c>
      <c r="BB22" s="125">
        <v>0.3645450085847437</v>
      </c>
      <c r="BC22" s="126">
        <v>5</v>
      </c>
      <c r="BD22" s="126"/>
      <c r="BE22" s="126">
        <v>4</v>
      </c>
      <c r="BF22" s="126">
        <v>3</v>
      </c>
      <c r="BG22" s="126"/>
      <c r="BH22" s="126">
        <v>2</v>
      </c>
      <c r="BI22" s="126"/>
      <c r="BJ22" s="126"/>
      <c r="BK22" s="126"/>
      <c r="BL22" s="126"/>
      <c r="BM22" s="126">
        <v>1</v>
      </c>
      <c r="BN22" s="126"/>
      <c r="BO22" s="126"/>
      <c r="BP22" s="124" t="s">
        <v>199</v>
      </c>
      <c r="BQ22" s="119">
        <v>4963</v>
      </c>
      <c r="BR22" s="114">
        <v>0.30432916360068679</v>
      </c>
      <c r="BS22" s="119">
        <v>982</v>
      </c>
      <c r="BT22" s="127">
        <v>6.021584498405691E-2</v>
      </c>
    </row>
    <row r="23" spans="1:72" ht="17.100000000000001" customHeight="1">
      <c r="A23" s="111" t="s">
        <v>237</v>
      </c>
      <c r="B23" s="112">
        <v>6299</v>
      </c>
      <c r="C23" s="113">
        <v>996</v>
      </c>
      <c r="D23" s="114">
        <v>0.24186498300145701</v>
      </c>
      <c r="E23" s="115">
        <v>1350</v>
      </c>
      <c r="F23" s="114">
        <v>0.32782904322486645</v>
      </c>
      <c r="G23" s="113">
        <v>145</v>
      </c>
      <c r="H23" s="114">
        <v>3.5211267605633804E-2</v>
      </c>
      <c r="I23" s="113">
        <v>770</v>
      </c>
      <c r="J23" s="114">
        <v>0.18698397280233123</v>
      </c>
      <c r="K23" s="113">
        <v>26</v>
      </c>
      <c r="L23" s="114">
        <v>6.3137445361826127E-3</v>
      </c>
      <c r="M23" s="113">
        <v>618</v>
      </c>
      <c r="N23" s="114">
        <v>0.15007285089849443</v>
      </c>
      <c r="O23" s="113">
        <v>45</v>
      </c>
      <c r="P23" s="114">
        <v>1.0927634774162214E-2</v>
      </c>
      <c r="Q23" s="113">
        <v>4</v>
      </c>
      <c r="R23" s="114">
        <v>9.7134531325886349E-4</v>
      </c>
      <c r="S23" s="113">
        <v>3</v>
      </c>
      <c r="T23" s="114">
        <v>7.2850898494414762E-4</v>
      </c>
      <c r="U23" s="116"/>
      <c r="V23" s="117"/>
      <c r="W23" s="113">
        <v>20</v>
      </c>
      <c r="X23" s="114">
        <v>4.8567265662943174E-3</v>
      </c>
      <c r="Y23" s="118"/>
      <c r="Z23" s="117"/>
      <c r="AA23" s="118"/>
      <c r="AB23" s="117"/>
      <c r="AC23" s="113">
        <v>0</v>
      </c>
      <c r="AD23" s="114">
        <v>0</v>
      </c>
      <c r="AE23" s="119">
        <v>3977</v>
      </c>
      <c r="AF23" s="114">
        <v>0.96576007770762506</v>
      </c>
      <c r="AG23" s="113">
        <v>141</v>
      </c>
      <c r="AH23" s="114">
        <v>3.4239922292374943E-2</v>
      </c>
      <c r="AI23" s="119">
        <v>4118</v>
      </c>
      <c r="AJ23" s="120">
        <v>0.65375456421654232</v>
      </c>
      <c r="AL23" s="121">
        <v>0</v>
      </c>
      <c r="AM23" s="120">
        <v>0</v>
      </c>
      <c r="AO23" s="121">
        <v>0</v>
      </c>
      <c r="AP23" s="120">
        <v>0</v>
      </c>
      <c r="AR23" s="122"/>
      <c r="AS23" s="117"/>
      <c r="AT23" s="123">
        <v>1448</v>
      </c>
      <c r="AU23" s="114">
        <v>0.35162700339970859</v>
      </c>
      <c r="AV23" s="116"/>
      <c r="AW23" s="117"/>
      <c r="AX23" s="116"/>
      <c r="AY23" s="117"/>
      <c r="AZ23" s="124" t="s">
        <v>203</v>
      </c>
      <c r="BA23" s="119">
        <v>1448</v>
      </c>
      <c r="BB23" s="125">
        <v>0.35162700339970859</v>
      </c>
      <c r="BC23" s="126">
        <v>2</v>
      </c>
      <c r="BD23" s="126"/>
      <c r="BE23" s="126">
        <v>5</v>
      </c>
      <c r="BF23" s="126">
        <v>3</v>
      </c>
      <c r="BG23" s="126"/>
      <c r="BH23" s="126">
        <v>4</v>
      </c>
      <c r="BI23" s="126"/>
      <c r="BJ23" s="126"/>
      <c r="BK23" s="126"/>
      <c r="BL23" s="126"/>
      <c r="BM23" s="126">
        <v>1</v>
      </c>
      <c r="BN23" s="126"/>
      <c r="BO23" s="126"/>
      <c r="BP23" s="124" t="s">
        <v>7</v>
      </c>
      <c r="BQ23" s="119">
        <v>996</v>
      </c>
      <c r="BR23" s="114">
        <v>0.24186498300145701</v>
      </c>
      <c r="BS23" s="119">
        <v>452</v>
      </c>
      <c r="BT23" s="127">
        <v>0.10976202039825159</v>
      </c>
    </row>
    <row r="24" spans="1:72" ht="17.100000000000001" customHeight="1">
      <c r="A24" s="111" t="s">
        <v>238</v>
      </c>
      <c r="B24" s="112">
        <v>361936</v>
      </c>
      <c r="C24" s="113">
        <v>61150</v>
      </c>
      <c r="D24" s="114">
        <v>0.36604930142349179</v>
      </c>
      <c r="E24" s="115">
        <v>61567</v>
      </c>
      <c r="F24" s="114">
        <v>0.36854550025740179</v>
      </c>
      <c r="G24" s="113">
        <v>11374</v>
      </c>
      <c r="H24" s="114">
        <v>6.8085768673602554E-2</v>
      </c>
      <c r="I24" s="113">
        <v>5901</v>
      </c>
      <c r="J24" s="114">
        <v>3.5323907239575229E-2</v>
      </c>
      <c r="K24" s="113">
        <v>7127</v>
      </c>
      <c r="L24" s="114">
        <v>4.266285153303722E-2</v>
      </c>
      <c r="M24" s="113">
        <v>2222</v>
      </c>
      <c r="N24" s="114">
        <v>1.3301088270858524E-2</v>
      </c>
      <c r="O24" s="113">
        <v>3170</v>
      </c>
      <c r="P24" s="114">
        <v>1.8975900008380522E-2</v>
      </c>
      <c r="Q24" s="113">
        <v>1435</v>
      </c>
      <c r="R24" s="114">
        <v>8.5900367545823503E-3</v>
      </c>
      <c r="S24" s="113">
        <v>448</v>
      </c>
      <c r="T24" s="114">
        <v>2.6817675721622948E-3</v>
      </c>
      <c r="U24" s="116"/>
      <c r="V24" s="117"/>
      <c r="W24" s="113">
        <v>804</v>
      </c>
      <c r="X24" s="114">
        <v>4.8128150178984039E-3</v>
      </c>
      <c r="Y24" s="118"/>
      <c r="Z24" s="117"/>
      <c r="AA24" s="118"/>
      <c r="AB24" s="117"/>
      <c r="AC24" s="113">
        <v>770</v>
      </c>
      <c r="AD24" s="114">
        <v>4.6092880146539443E-3</v>
      </c>
      <c r="AE24" s="119">
        <v>155968</v>
      </c>
      <c r="AF24" s="114">
        <v>0.93363822476564462</v>
      </c>
      <c r="AG24" s="113">
        <v>11086</v>
      </c>
      <c r="AH24" s="114">
        <v>6.6361775234355352E-2</v>
      </c>
      <c r="AI24" s="119">
        <v>167054</v>
      </c>
      <c r="AJ24" s="120">
        <v>0.46155673931302771</v>
      </c>
      <c r="AL24" s="121">
        <v>0</v>
      </c>
      <c r="AM24" s="120">
        <v>0</v>
      </c>
      <c r="AO24" s="121">
        <v>0</v>
      </c>
      <c r="AP24" s="120">
        <v>0</v>
      </c>
      <c r="AR24" s="122"/>
      <c r="AS24" s="117"/>
      <c r="AT24" s="123">
        <v>74551</v>
      </c>
      <c r="AU24" s="114">
        <v>0.44626887114346259</v>
      </c>
      <c r="AV24" s="116"/>
      <c r="AW24" s="117"/>
      <c r="AX24" s="116"/>
      <c r="AY24" s="117"/>
      <c r="AZ24" s="124" t="s">
        <v>203</v>
      </c>
      <c r="BA24" s="119">
        <v>74551</v>
      </c>
      <c r="BB24" s="125">
        <v>0.44626887114346259</v>
      </c>
      <c r="BC24" s="126">
        <v>2</v>
      </c>
      <c r="BD24" s="126"/>
      <c r="BE24" s="126">
        <v>3</v>
      </c>
      <c r="BF24" s="126">
        <v>4</v>
      </c>
      <c r="BG24" s="126"/>
      <c r="BH24" s="126">
        <v>5</v>
      </c>
      <c r="BI24" s="126"/>
      <c r="BJ24" s="126"/>
      <c r="BK24" s="126"/>
      <c r="BL24" s="126"/>
      <c r="BM24" s="126">
        <v>1</v>
      </c>
      <c r="BN24" s="126"/>
      <c r="BO24" s="126"/>
      <c r="BP24" s="124" t="s">
        <v>7</v>
      </c>
      <c r="BQ24" s="119">
        <v>61150</v>
      </c>
      <c r="BR24" s="114">
        <v>0.36604930142349179</v>
      </c>
      <c r="BS24" s="119">
        <v>13401</v>
      </c>
      <c r="BT24" s="127">
        <v>8.0219569719970796E-2</v>
      </c>
    </row>
    <row r="25" spans="1:72" ht="17.100000000000001" customHeight="1">
      <c r="A25" s="111" t="s">
        <v>239</v>
      </c>
      <c r="B25" s="112">
        <v>58001</v>
      </c>
      <c r="C25" s="113">
        <v>5888</v>
      </c>
      <c r="D25" s="114">
        <v>0.17198773185336644</v>
      </c>
      <c r="E25" s="115">
        <v>18169</v>
      </c>
      <c r="F25" s="114">
        <v>0.53071418139331095</v>
      </c>
      <c r="G25" s="113">
        <v>688</v>
      </c>
      <c r="H25" s="114">
        <v>2.0096392580692273E-2</v>
      </c>
      <c r="I25" s="113">
        <v>605</v>
      </c>
      <c r="J25" s="114">
        <v>1.7671973126916898E-2</v>
      </c>
      <c r="K25" s="113">
        <v>418</v>
      </c>
      <c r="L25" s="114">
        <v>1.2209726887688038E-2</v>
      </c>
      <c r="M25" s="113">
        <v>5433</v>
      </c>
      <c r="N25" s="114">
        <v>0.15869723966700744</v>
      </c>
      <c r="O25" s="113">
        <v>517</v>
      </c>
      <c r="P25" s="114">
        <v>1.5101504308456259E-2</v>
      </c>
      <c r="Q25" s="113">
        <v>199</v>
      </c>
      <c r="R25" s="114">
        <v>5.8127647144734923E-3</v>
      </c>
      <c r="S25" s="113">
        <v>66</v>
      </c>
      <c r="T25" s="114">
        <v>1.9278516138454798E-3</v>
      </c>
      <c r="U25" s="116"/>
      <c r="V25" s="117"/>
      <c r="W25" s="113">
        <v>387</v>
      </c>
      <c r="X25" s="114">
        <v>1.1304220826639405E-2</v>
      </c>
      <c r="Y25" s="118"/>
      <c r="Z25" s="117"/>
      <c r="AA25" s="118"/>
      <c r="AB25" s="117"/>
      <c r="AC25" s="113">
        <v>50</v>
      </c>
      <c r="AD25" s="114">
        <v>1.4604936468526361E-3</v>
      </c>
      <c r="AE25" s="119">
        <v>32420</v>
      </c>
      <c r="AF25" s="114">
        <v>0.94698408061924932</v>
      </c>
      <c r="AG25" s="113">
        <v>1815</v>
      </c>
      <c r="AH25" s="114">
        <v>5.3015919380750696E-2</v>
      </c>
      <c r="AI25" s="119">
        <v>34235</v>
      </c>
      <c r="AJ25" s="120">
        <v>0.590248443992345</v>
      </c>
      <c r="AL25" s="121">
        <v>0</v>
      </c>
      <c r="AM25" s="120">
        <v>0</v>
      </c>
      <c r="AO25" s="121">
        <v>0</v>
      </c>
      <c r="AP25" s="120">
        <v>0</v>
      </c>
      <c r="AR25" s="122"/>
      <c r="AS25" s="117"/>
      <c r="AT25" s="123">
        <v>19756</v>
      </c>
      <c r="AU25" s="114">
        <v>0.57707024974441357</v>
      </c>
      <c r="AV25" s="116"/>
      <c r="AW25" s="117"/>
      <c r="AX25" s="116"/>
      <c r="AY25" s="117"/>
      <c r="AZ25" s="124" t="s">
        <v>203</v>
      </c>
      <c r="BA25" s="119">
        <v>19756</v>
      </c>
      <c r="BB25" s="125">
        <v>0.57707024974441357</v>
      </c>
      <c r="BC25" s="126">
        <v>2</v>
      </c>
      <c r="BD25" s="126"/>
      <c r="BE25" s="126">
        <v>4</v>
      </c>
      <c r="BF25" s="126">
        <v>5</v>
      </c>
      <c r="BG25" s="126"/>
      <c r="BH25" s="126">
        <v>3</v>
      </c>
      <c r="BI25" s="126"/>
      <c r="BJ25" s="126"/>
      <c r="BK25" s="126"/>
      <c r="BL25" s="126"/>
      <c r="BM25" s="126">
        <v>1</v>
      </c>
      <c r="BN25" s="126"/>
      <c r="BO25" s="126"/>
      <c r="BP25" s="124" t="s">
        <v>7</v>
      </c>
      <c r="BQ25" s="119">
        <v>5888</v>
      </c>
      <c r="BR25" s="114">
        <v>0.17198773185336644</v>
      </c>
      <c r="BS25" s="119">
        <v>13868</v>
      </c>
      <c r="BT25" s="127">
        <v>0.4050825178910471</v>
      </c>
    </row>
    <row r="26" spans="1:72" ht="17.100000000000001" customHeight="1">
      <c r="A26" s="111" t="s">
        <v>240</v>
      </c>
      <c r="B26" s="112">
        <v>17867</v>
      </c>
      <c r="C26" s="113">
        <v>2316</v>
      </c>
      <c r="D26" s="114">
        <v>0.2139096702687725</v>
      </c>
      <c r="E26" s="115">
        <v>2421</v>
      </c>
      <c r="F26" s="114">
        <v>0.22360764754779716</v>
      </c>
      <c r="G26" s="113">
        <v>1196</v>
      </c>
      <c r="H26" s="114">
        <v>0.11046457929250947</v>
      </c>
      <c r="I26" s="113">
        <v>2476</v>
      </c>
      <c r="J26" s="114">
        <v>0.22868754040823866</v>
      </c>
      <c r="K26" s="113">
        <v>58</v>
      </c>
      <c r="L26" s="114">
        <v>5.3569779255564793E-3</v>
      </c>
      <c r="M26" s="113">
        <v>1950</v>
      </c>
      <c r="N26" s="114">
        <v>0.1801052923247437</v>
      </c>
      <c r="O26" s="113">
        <v>18</v>
      </c>
      <c r="P26" s="114">
        <v>1.6625103906899418E-3</v>
      </c>
      <c r="Q26" s="113">
        <v>17</v>
      </c>
      <c r="R26" s="114">
        <v>1.5701487023182783E-3</v>
      </c>
      <c r="S26" s="113">
        <v>8</v>
      </c>
      <c r="T26" s="114">
        <v>7.3889350697330743E-4</v>
      </c>
      <c r="U26" s="116"/>
      <c r="V26" s="117"/>
      <c r="W26" s="113">
        <v>17</v>
      </c>
      <c r="X26" s="114">
        <v>1.5701487023182783E-3</v>
      </c>
      <c r="Y26" s="118"/>
      <c r="Z26" s="117"/>
      <c r="AA26" s="118"/>
      <c r="AB26" s="117"/>
      <c r="AC26" s="113">
        <v>8</v>
      </c>
      <c r="AD26" s="114">
        <v>7.3889350697330743E-4</v>
      </c>
      <c r="AE26" s="119">
        <v>10485</v>
      </c>
      <c r="AF26" s="114">
        <v>0.96841230257689115</v>
      </c>
      <c r="AG26" s="113">
        <v>342</v>
      </c>
      <c r="AH26" s="114">
        <v>3.1587697423108893E-2</v>
      </c>
      <c r="AI26" s="119">
        <v>10827</v>
      </c>
      <c r="AJ26" s="120">
        <v>0.60597750041976828</v>
      </c>
      <c r="AL26" s="121">
        <v>0</v>
      </c>
      <c r="AM26" s="120">
        <v>0</v>
      </c>
      <c r="AO26" s="121">
        <v>0</v>
      </c>
      <c r="AP26" s="120">
        <v>0</v>
      </c>
      <c r="AR26" s="122"/>
      <c r="AS26" s="117"/>
      <c r="AT26" s="123">
        <v>2539</v>
      </c>
      <c r="AU26" s="114">
        <v>0.23450632677565345</v>
      </c>
      <c r="AV26" s="116"/>
      <c r="AW26" s="117"/>
      <c r="AX26" s="116"/>
      <c r="AY26" s="117"/>
      <c r="AZ26" s="124" t="s">
        <v>203</v>
      </c>
      <c r="BA26" s="119">
        <v>2539</v>
      </c>
      <c r="BB26" s="125">
        <v>0.23450632677565345</v>
      </c>
      <c r="BC26" s="126">
        <v>3</v>
      </c>
      <c r="BD26" s="126"/>
      <c r="BE26" s="126">
        <v>5</v>
      </c>
      <c r="BF26" s="126">
        <v>2</v>
      </c>
      <c r="BG26" s="126"/>
      <c r="BH26" s="126">
        <v>4</v>
      </c>
      <c r="BI26" s="126"/>
      <c r="BJ26" s="126"/>
      <c r="BK26" s="126"/>
      <c r="BL26" s="126"/>
      <c r="BM26" s="126">
        <v>1</v>
      </c>
      <c r="BN26" s="126"/>
      <c r="BO26" s="126"/>
      <c r="BP26" s="124" t="s">
        <v>11</v>
      </c>
      <c r="BQ26" s="119">
        <v>2476</v>
      </c>
      <c r="BR26" s="114">
        <v>0.22868754040823866</v>
      </c>
      <c r="BS26" s="119">
        <v>63</v>
      </c>
      <c r="BT26" s="127">
        <v>5.8187863674147855E-3</v>
      </c>
    </row>
    <row r="27" spans="1:72" ht="17.100000000000001" customHeight="1">
      <c r="A27" s="111" t="s">
        <v>241</v>
      </c>
      <c r="B27" s="112">
        <v>14334</v>
      </c>
      <c r="C27" s="113">
        <v>3846</v>
      </c>
      <c r="D27" s="114">
        <v>0.36265912305516268</v>
      </c>
      <c r="E27" s="115">
        <v>3304</v>
      </c>
      <c r="F27" s="114">
        <v>0.31155115511551157</v>
      </c>
      <c r="G27" s="113">
        <v>1277</v>
      </c>
      <c r="H27" s="114">
        <v>0.12041489863272041</v>
      </c>
      <c r="I27" s="113">
        <v>1334</v>
      </c>
      <c r="J27" s="114">
        <v>0.1257897218293258</v>
      </c>
      <c r="K27" s="113">
        <v>40</v>
      </c>
      <c r="L27" s="114">
        <v>3.7718057520037718E-3</v>
      </c>
      <c r="M27" s="113">
        <v>98</v>
      </c>
      <c r="N27" s="114">
        <v>9.240924092409241E-3</v>
      </c>
      <c r="O27" s="113">
        <v>58</v>
      </c>
      <c r="P27" s="114">
        <v>5.4691183404054688E-3</v>
      </c>
      <c r="Q27" s="113">
        <v>15</v>
      </c>
      <c r="R27" s="114">
        <v>1.4144271570014145E-3</v>
      </c>
      <c r="S27" s="113">
        <v>10</v>
      </c>
      <c r="T27" s="114">
        <v>9.4295143800094295E-4</v>
      </c>
      <c r="U27" s="116"/>
      <c r="V27" s="117"/>
      <c r="W27" s="113">
        <v>90</v>
      </c>
      <c r="X27" s="114">
        <v>8.4865629420084864E-3</v>
      </c>
      <c r="Y27" s="113">
        <v>216</v>
      </c>
      <c r="Z27" s="114">
        <v>2.0367751060820366E-2</v>
      </c>
      <c r="AA27" s="118"/>
      <c r="AB27" s="117"/>
      <c r="AC27" s="113">
        <v>5</v>
      </c>
      <c r="AD27" s="114">
        <v>4.7147571900047147E-4</v>
      </c>
      <c r="AE27" s="119">
        <v>10293</v>
      </c>
      <c r="AF27" s="114">
        <v>0.97057991513437059</v>
      </c>
      <c r="AG27" s="113">
        <v>312</v>
      </c>
      <c r="AH27" s="114">
        <v>2.9420084865629421E-2</v>
      </c>
      <c r="AI27" s="119">
        <v>10605</v>
      </c>
      <c r="AJ27" s="120">
        <v>0.73984930933444959</v>
      </c>
      <c r="AL27" s="121">
        <v>0</v>
      </c>
      <c r="AM27" s="120">
        <v>0</v>
      </c>
      <c r="AO27" s="121">
        <v>0</v>
      </c>
      <c r="AP27" s="120">
        <v>0</v>
      </c>
      <c r="AR27" s="122"/>
      <c r="AS27" s="117"/>
      <c r="AT27" s="123">
        <v>3517</v>
      </c>
      <c r="AU27" s="114">
        <v>0.33163602074493165</v>
      </c>
      <c r="AV27" s="119">
        <v>2827</v>
      </c>
      <c r="AW27" s="114">
        <v>0.26657237152286656</v>
      </c>
      <c r="AX27" s="116"/>
      <c r="AY27" s="117"/>
      <c r="AZ27" s="124" t="s">
        <v>7</v>
      </c>
      <c r="BA27" s="119">
        <v>3846</v>
      </c>
      <c r="BB27" s="125">
        <v>0.36265912305516268</v>
      </c>
      <c r="BC27" s="126">
        <v>1</v>
      </c>
      <c r="BD27" s="126"/>
      <c r="BE27" s="126"/>
      <c r="BF27" s="126"/>
      <c r="BG27" s="126"/>
      <c r="BH27" s="126">
        <v>4</v>
      </c>
      <c r="BI27" s="126"/>
      <c r="BJ27" s="126"/>
      <c r="BK27" s="126"/>
      <c r="BL27" s="126"/>
      <c r="BM27" s="126">
        <v>2</v>
      </c>
      <c r="BN27" s="126">
        <v>3</v>
      </c>
      <c r="BO27" s="126"/>
      <c r="BP27" s="124" t="s">
        <v>203</v>
      </c>
      <c r="BQ27" s="119">
        <v>3517</v>
      </c>
      <c r="BR27" s="128">
        <v>0.33163602074493165</v>
      </c>
      <c r="BS27" s="119">
        <v>329</v>
      </c>
      <c r="BT27" s="127">
        <v>3.1023102310231032E-2</v>
      </c>
    </row>
    <row r="28" spans="1:72" ht="17.100000000000001" customHeight="1">
      <c r="A28" s="111" t="s">
        <v>242</v>
      </c>
      <c r="B28" s="112">
        <v>4575</v>
      </c>
      <c r="C28" s="113">
        <v>645</v>
      </c>
      <c r="D28" s="114">
        <v>0.19907407407407407</v>
      </c>
      <c r="E28" s="115">
        <v>1229</v>
      </c>
      <c r="F28" s="114">
        <v>0.37932098765432098</v>
      </c>
      <c r="G28" s="113">
        <v>332</v>
      </c>
      <c r="H28" s="114">
        <v>0.10246913580246914</v>
      </c>
      <c r="I28" s="113">
        <v>626</v>
      </c>
      <c r="J28" s="114">
        <v>0.19320987654320987</v>
      </c>
      <c r="K28" s="113">
        <v>60</v>
      </c>
      <c r="L28" s="114">
        <v>1.8518518518518517E-2</v>
      </c>
      <c r="M28" s="113">
        <v>231</v>
      </c>
      <c r="N28" s="114">
        <v>7.1296296296296302E-2</v>
      </c>
      <c r="O28" s="113">
        <v>1</v>
      </c>
      <c r="P28" s="114">
        <v>3.0864197530864197E-4</v>
      </c>
      <c r="Q28" s="113">
        <v>2</v>
      </c>
      <c r="R28" s="114">
        <v>6.1728395061728394E-4</v>
      </c>
      <c r="S28" s="113">
        <v>4</v>
      </c>
      <c r="T28" s="114">
        <v>1.2345679012345679E-3</v>
      </c>
      <c r="U28" s="116"/>
      <c r="V28" s="117"/>
      <c r="W28" s="113">
        <v>14</v>
      </c>
      <c r="X28" s="114">
        <v>4.3209876543209872E-3</v>
      </c>
      <c r="Y28" s="118"/>
      <c r="Z28" s="117"/>
      <c r="AA28" s="118"/>
      <c r="AB28" s="117"/>
      <c r="AC28" s="113">
        <v>2</v>
      </c>
      <c r="AD28" s="114">
        <v>6.1728395061728394E-4</v>
      </c>
      <c r="AE28" s="119">
        <v>3146</v>
      </c>
      <c r="AF28" s="114">
        <v>0.97098765432098766</v>
      </c>
      <c r="AG28" s="113">
        <v>94</v>
      </c>
      <c r="AH28" s="114">
        <v>2.9012345679012345E-2</v>
      </c>
      <c r="AI28" s="119">
        <v>3240</v>
      </c>
      <c r="AJ28" s="120">
        <v>0.70819672131147537</v>
      </c>
      <c r="AL28" s="121">
        <v>0</v>
      </c>
      <c r="AM28" s="120">
        <v>0</v>
      </c>
      <c r="AO28" s="121">
        <v>0</v>
      </c>
      <c r="AP28" s="120">
        <v>0</v>
      </c>
      <c r="AR28" s="122"/>
      <c r="AS28" s="117"/>
      <c r="AT28" s="123">
        <v>1310</v>
      </c>
      <c r="AU28" s="114">
        <v>0.40432098765432101</v>
      </c>
      <c r="AV28" s="116"/>
      <c r="AW28" s="117"/>
      <c r="AX28" s="116"/>
      <c r="AY28" s="117"/>
      <c r="AZ28" s="124" t="s">
        <v>203</v>
      </c>
      <c r="BA28" s="119">
        <v>1310</v>
      </c>
      <c r="BB28" s="125">
        <v>0.40432098765432101</v>
      </c>
      <c r="BC28" s="126">
        <v>2</v>
      </c>
      <c r="BD28" s="126"/>
      <c r="BE28" s="126">
        <v>4</v>
      </c>
      <c r="BF28" s="126">
        <v>3</v>
      </c>
      <c r="BG28" s="126"/>
      <c r="BH28" s="126">
        <v>5</v>
      </c>
      <c r="BI28" s="126"/>
      <c r="BJ28" s="126"/>
      <c r="BK28" s="126"/>
      <c r="BL28" s="126"/>
      <c r="BM28" s="126">
        <v>1</v>
      </c>
      <c r="BN28" s="126"/>
      <c r="BO28" s="126"/>
      <c r="BP28" s="124" t="s">
        <v>7</v>
      </c>
      <c r="BQ28" s="119">
        <v>645</v>
      </c>
      <c r="BR28" s="114">
        <v>0.19907407407407407</v>
      </c>
      <c r="BS28" s="119">
        <v>665</v>
      </c>
      <c r="BT28" s="127">
        <v>0.20524691358024694</v>
      </c>
    </row>
    <row r="29" spans="1:72" ht="17.100000000000001" customHeight="1">
      <c r="A29" s="111" t="s">
        <v>243</v>
      </c>
      <c r="B29" s="112">
        <v>26388</v>
      </c>
      <c r="C29" s="113">
        <v>4883</v>
      </c>
      <c r="D29" s="114">
        <v>0.26825248585398009</v>
      </c>
      <c r="E29" s="115">
        <v>7077</v>
      </c>
      <c r="F29" s="114">
        <v>0.38878206888974343</v>
      </c>
      <c r="G29" s="113">
        <v>1247</v>
      </c>
      <c r="H29" s="114">
        <v>6.8505191451958464E-2</v>
      </c>
      <c r="I29" s="113">
        <v>3491</v>
      </c>
      <c r="J29" s="114">
        <v>0.1917815744657474</v>
      </c>
      <c r="K29" s="113">
        <v>124</v>
      </c>
      <c r="L29" s="114">
        <v>6.8120639455034881E-3</v>
      </c>
      <c r="M29" s="113">
        <v>326</v>
      </c>
      <c r="N29" s="114">
        <v>1.7909135856726915E-2</v>
      </c>
      <c r="O29" s="113">
        <v>47</v>
      </c>
      <c r="P29" s="114">
        <v>2.5819919793440642E-3</v>
      </c>
      <c r="Q29" s="113">
        <v>38</v>
      </c>
      <c r="R29" s="114">
        <v>2.087567983299456E-3</v>
      </c>
      <c r="S29" s="113">
        <v>9</v>
      </c>
      <c r="T29" s="114">
        <v>4.9442399604460803E-4</v>
      </c>
      <c r="U29" s="116"/>
      <c r="V29" s="117"/>
      <c r="W29" s="113">
        <v>92</v>
      </c>
      <c r="X29" s="114">
        <v>5.0541119595671046E-3</v>
      </c>
      <c r="Y29" s="118"/>
      <c r="Z29" s="117"/>
      <c r="AA29" s="118"/>
      <c r="AB29" s="117"/>
      <c r="AC29" s="113">
        <v>27</v>
      </c>
      <c r="AD29" s="114">
        <v>1.4832719881338241E-3</v>
      </c>
      <c r="AE29" s="119">
        <v>17361</v>
      </c>
      <c r="AF29" s="114">
        <v>0.95374388837004886</v>
      </c>
      <c r="AG29" s="113">
        <v>842</v>
      </c>
      <c r="AH29" s="114">
        <v>4.6256111629951108E-2</v>
      </c>
      <c r="AI29" s="119">
        <v>18203</v>
      </c>
      <c r="AJ29" s="120">
        <v>0.689821130817038</v>
      </c>
      <c r="AL29" s="121">
        <v>0</v>
      </c>
      <c r="AM29" s="120">
        <v>0</v>
      </c>
      <c r="AO29" s="121">
        <v>0</v>
      </c>
      <c r="AP29" s="120">
        <v>0</v>
      </c>
      <c r="AR29" s="122"/>
      <c r="AS29" s="117"/>
      <c r="AT29" s="123">
        <v>7387</v>
      </c>
      <c r="AU29" s="114">
        <v>0.40581222875350215</v>
      </c>
      <c r="AV29" s="116"/>
      <c r="AW29" s="117"/>
      <c r="AX29" s="116"/>
      <c r="AY29" s="117"/>
      <c r="AZ29" s="124" t="s">
        <v>203</v>
      </c>
      <c r="BA29" s="119">
        <v>7387</v>
      </c>
      <c r="BB29" s="125">
        <v>0.40581222875350215</v>
      </c>
      <c r="BC29" s="126">
        <v>2</v>
      </c>
      <c r="BD29" s="126"/>
      <c r="BE29" s="126">
        <v>4</v>
      </c>
      <c r="BF29" s="126">
        <v>3</v>
      </c>
      <c r="BG29" s="126"/>
      <c r="BH29" s="126">
        <v>5</v>
      </c>
      <c r="BI29" s="126"/>
      <c r="BJ29" s="126"/>
      <c r="BK29" s="126"/>
      <c r="BL29" s="126"/>
      <c r="BM29" s="126">
        <v>1</v>
      </c>
      <c r="BN29" s="126"/>
      <c r="BO29" s="126"/>
      <c r="BP29" s="124" t="s">
        <v>7</v>
      </c>
      <c r="BQ29" s="119">
        <v>4883</v>
      </c>
      <c r="BR29" s="114">
        <v>0.26825248585398009</v>
      </c>
      <c r="BS29" s="119">
        <v>2504</v>
      </c>
      <c r="BT29" s="127">
        <v>0.13755974289952205</v>
      </c>
    </row>
    <row r="30" spans="1:72" ht="17.100000000000001" customHeight="1">
      <c r="A30" s="111" t="s">
        <v>244</v>
      </c>
      <c r="B30" s="112">
        <v>20615</v>
      </c>
      <c r="C30" s="113">
        <v>730</v>
      </c>
      <c r="D30" s="114">
        <v>6.4636089959270407E-2</v>
      </c>
      <c r="E30" s="115">
        <v>2280</v>
      </c>
      <c r="F30" s="114">
        <v>0.20187710288648841</v>
      </c>
      <c r="G30" s="113">
        <v>2478</v>
      </c>
      <c r="H30" s="114">
        <v>0.21940853550557818</v>
      </c>
      <c r="I30" s="113">
        <v>2781</v>
      </c>
      <c r="J30" s="114">
        <v>0.24623693996812468</v>
      </c>
      <c r="K30" s="113">
        <v>59</v>
      </c>
      <c r="L30" s="114">
        <v>5.2240127501328136E-3</v>
      </c>
      <c r="M30" s="113">
        <v>2031</v>
      </c>
      <c r="N30" s="114">
        <v>0.17982999822914822</v>
      </c>
      <c r="O30" s="113">
        <v>24</v>
      </c>
      <c r="P30" s="114">
        <v>2.1250221356472463E-3</v>
      </c>
      <c r="Q30" s="113">
        <v>25</v>
      </c>
      <c r="R30" s="114">
        <v>2.2135647246325483E-3</v>
      </c>
      <c r="S30" s="113">
        <v>25</v>
      </c>
      <c r="T30" s="114">
        <v>2.2135647246325483E-3</v>
      </c>
      <c r="U30" s="116"/>
      <c r="V30" s="117"/>
      <c r="W30" s="113">
        <v>32</v>
      </c>
      <c r="X30" s="114">
        <v>2.8333628475296618E-3</v>
      </c>
      <c r="Y30" s="118"/>
      <c r="Z30" s="117"/>
      <c r="AA30" s="118"/>
      <c r="AB30" s="117"/>
      <c r="AC30" s="113">
        <v>7</v>
      </c>
      <c r="AD30" s="114">
        <v>6.1979812289711356E-4</v>
      </c>
      <c r="AE30" s="119">
        <v>10472</v>
      </c>
      <c r="AF30" s="114">
        <v>0.92721799185408182</v>
      </c>
      <c r="AG30" s="113">
        <v>822</v>
      </c>
      <c r="AH30" s="114">
        <v>7.2782008145918189E-2</v>
      </c>
      <c r="AI30" s="119">
        <v>11294</v>
      </c>
      <c r="AJ30" s="120">
        <v>0.54785350472956584</v>
      </c>
      <c r="AL30" s="121">
        <v>0</v>
      </c>
      <c r="AM30" s="120">
        <v>0</v>
      </c>
      <c r="AO30" s="121">
        <v>0</v>
      </c>
      <c r="AP30" s="120">
        <v>0</v>
      </c>
      <c r="AR30" s="122"/>
      <c r="AS30" s="117"/>
      <c r="AT30" s="123">
        <v>2445</v>
      </c>
      <c r="AU30" s="114">
        <v>0.21648663006906321</v>
      </c>
      <c r="AV30" s="116"/>
      <c r="AW30" s="117"/>
      <c r="AX30" s="116"/>
      <c r="AY30" s="117"/>
      <c r="AZ30" s="124" t="s">
        <v>11</v>
      </c>
      <c r="BA30" s="119">
        <v>2781</v>
      </c>
      <c r="BB30" s="125">
        <v>0.24623693996812468</v>
      </c>
      <c r="BC30" s="126">
        <v>5</v>
      </c>
      <c r="BD30" s="126"/>
      <c r="BE30" s="126">
        <v>2</v>
      </c>
      <c r="BF30" s="126">
        <v>1</v>
      </c>
      <c r="BG30" s="126"/>
      <c r="BH30" s="126">
        <v>4</v>
      </c>
      <c r="BI30" s="126"/>
      <c r="BJ30" s="126"/>
      <c r="BK30" s="126"/>
      <c r="BL30" s="126"/>
      <c r="BM30" s="126">
        <v>3</v>
      </c>
      <c r="BN30" s="126"/>
      <c r="BO30" s="126"/>
      <c r="BP30" s="124" t="s">
        <v>10</v>
      </c>
      <c r="BQ30" s="119">
        <v>2478</v>
      </c>
      <c r="BR30" s="114">
        <v>0.21940853550557818</v>
      </c>
      <c r="BS30" s="119">
        <v>303</v>
      </c>
      <c r="BT30" s="127">
        <v>2.6828404462546501E-2</v>
      </c>
    </row>
    <row r="31" spans="1:72" ht="17.100000000000001" customHeight="1">
      <c r="A31" s="111" t="s">
        <v>245</v>
      </c>
      <c r="B31" s="112">
        <v>202351</v>
      </c>
      <c r="C31" s="113">
        <v>17664</v>
      </c>
      <c r="D31" s="114">
        <v>0.18129009082978395</v>
      </c>
      <c r="E31" s="115">
        <v>43854</v>
      </c>
      <c r="F31" s="114">
        <v>0.45008467183250372</v>
      </c>
      <c r="G31" s="113">
        <v>23999</v>
      </c>
      <c r="H31" s="114">
        <v>0.24630779494021657</v>
      </c>
      <c r="I31" s="113">
        <v>2758</v>
      </c>
      <c r="J31" s="114">
        <v>2.8306050187304355E-2</v>
      </c>
      <c r="K31" s="113">
        <v>3094</v>
      </c>
      <c r="L31" s="114">
        <v>3.1754503002001333E-2</v>
      </c>
      <c r="M31" s="113">
        <v>2672</v>
      </c>
      <c r="N31" s="114">
        <v>2.7423410478780726E-2</v>
      </c>
      <c r="O31" s="113">
        <v>1553</v>
      </c>
      <c r="P31" s="114">
        <v>1.5938831015548827E-2</v>
      </c>
      <c r="Q31" s="113">
        <v>634</v>
      </c>
      <c r="R31" s="114">
        <v>6.5069020372556059E-3</v>
      </c>
      <c r="S31" s="113">
        <v>320</v>
      </c>
      <c r="T31" s="114">
        <v>3.2842407759018834E-3</v>
      </c>
      <c r="U31" s="116"/>
      <c r="V31" s="117"/>
      <c r="W31" s="113">
        <v>2140</v>
      </c>
      <c r="X31" s="114">
        <v>2.1963360188843845E-2</v>
      </c>
      <c r="Y31" s="118"/>
      <c r="Z31" s="117"/>
      <c r="AA31" s="118"/>
      <c r="AB31" s="117"/>
      <c r="AC31" s="113">
        <v>207</v>
      </c>
      <c r="AD31" s="114">
        <v>2.1244932519115306E-3</v>
      </c>
      <c r="AE31" s="119">
        <v>98895</v>
      </c>
      <c r="AF31" s="114">
        <v>1.0149843485400523</v>
      </c>
      <c r="AG31" s="113">
        <v>6228</v>
      </c>
      <c r="AH31" s="114">
        <v>6.3919536100990409E-2</v>
      </c>
      <c r="AI31" s="119">
        <v>97435</v>
      </c>
      <c r="AJ31" s="120">
        <v>0.48151479360121768</v>
      </c>
      <c r="AL31" s="121">
        <v>-7688</v>
      </c>
      <c r="AM31" s="120">
        <v>-7.890388464104274E-2</v>
      </c>
      <c r="AO31" s="121">
        <v>0</v>
      </c>
      <c r="AP31" s="120">
        <v>0</v>
      </c>
      <c r="AR31" s="122"/>
      <c r="AS31" s="117"/>
      <c r="AT31" s="123">
        <v>51595</v>
      </c>
      <c r="AU31" s="114">
        <v>0.52953250885205516</v>
      </c>
      <c r="AV31" s="116"/>
      <c r="AW31" s="117"/>
      <c r="AX31" s="116"/>
      <c r="AY31" s="117"/>
      <c r="AZ31" s="124" t="s">
        <v>203</v>
      </c>
      <c r="BA31" s="119">
        <v>51595</v>
      </c>
      <c r="BB31" s="125">
        <v>0.52953250885205516</v>
      </c>
      <c r="BC31" s="126">
        <v>3</v>
      </c>
      <c r="BD31" s="126"/>
      <c r="BE31" s="126">
        <v>2</v>
      </c>
      <c r="BF31" s="126">
        <v>4</v>
      </c>
      <c r="BG31" s="126"/>
      <c r="BH31" s="126">
        <v>5</v>
      </c>
      <c r="BI31" s="126"/>
      <c r="BJ31" s="126"/>
      <c r="BK31" s="126"/>
      <c r="BL31" s="126"/>
      <c r="BM31" s="126">
        <v>1</v>
      </c>
      <c r="BN31" s="126"/>
      <c r="BO31" s="126"/>
      <c r="BP31" s="124" t="s">
        <v>10</v>
      </c>
      <c r="BQ31" s="119">
        <v>23999</v>
      </c>
      <c r="BR31" s="114">
        <v>0.24630779494021657</v>
      </c>
      <c r="BS31" s="119">
        <v>27596</v>
      </c>
      <c r="BT31" s="127">
        <v>0.28322471391183857</v>
      </c>
    </row>
    <row r="32" spans="1:72" ht="17.100000000000001" customHeight="1">
      <c r="A32" s="111" t="s">
        <v>246</v>
      </c>
      <c r="B32" s="112">
        <v>22348</v>
      </c>
      <c r="C32" s="113">
        <v>4002</v>
      </c>
      <c r="D32" s="114">
        <v>0.28334749362786749</v>
      </c>
      <c r="E32" s="115">
        <v>4184</v>
      </c>
      <c r="F32" s="114">
        <v>0.29623336165392239</v>
      </c>
      <c r="G32" s="113">
        <v>275</v>
      </c>
      <c r="H32" s="114">
        <v>1.9470404984423675E-2</v>
      </c>
      <c r="I32" s="113">
        <v>3015</v>
      </c>
      <c r="J32" s="114">
        <v>0.21346644010195412</v>
      </c>
      <c r="K32" s="113">
        <v>50</v>
      </c>
      <c r="L32" s="114">
        <v>3.5400736335315774E-3</v>
      </c>
      <c r="M32" s="113">
        <v>2054</v>
      </c>
      <c r="N32" s="114">
        <v>0.14542622486547721</v>
      </c>
      <c r="O32" s="113">
        <v>21</v>
      </c>
      <c r="P32" s="114">
        <v>1.4868309260832626E-3</v>
      </c>
      <c r="Q32" s="113">
        <v>13</v>
      </c>
      <c r="R32" s="114">
        <v>9.2041914471821019E-4</v>
      </c>
      <c r="S32" s="113">
        <v>5</v>
      </c>
      <c r="T32" s="114">
        <v>3.5400736335315777E-4</v>
      </c>
      <c r="U32" s="116"/>
      <c r="V32" s="117"/>
      <c r="W32" s="113">
        <v>30</v>
      </c>
      <c r="X32" s="114">
        <v>2.1240441801189465E-3</v>
      </c>
      <c r="Y32" s="118"/>
      <c r="Z32" s="117"/>
      <c r="AA32" s="118"/>
      <c r="AB32" s="117"/>
      <c r="AC32" s="113">
        <v>12</v>
      </c>
      <c r="AD32" s="114">
        <v>8.4961767204757861E-4</v>
      </c>
      <c r="AE32" s="119">
        <v>13661</v>
      </c>
      <c r="AF32" s="114">
        <v>0.96721891815349759</v>
      </c>
      <c r="AG32" s="113">
        <v>463</v>
      </c>
      <c r="AH32" s="114">
        <v>3.2781081846502406E-2</v>
      </c>
      <c r="AI32" s="119">
        <v>14124</v>
      </c>
      <c r="AJ32" s="120">
        <v>0.63200286379094328</v>
      </c>
      <c r="AL32" s="121">
        <v>0</v>
      </c>
      <c r="AM32" s="120">
        <v>0</v>
      </c>
      <c r="AO32" s="121">
        <v>0</v>
      </c>
      <c r="AP32" s="120">
        <v>0</v>
      </c>
      <c r="AR32" s="122"/>
      <c r="AS32" s="117"/>
      <c r="AT32" s="123">
        <v>4303</v>
      </c>
      <c r="AU32" s="114">
        <v>0.30465873690172757</v>
      </c>
      <c r="AV32" s="116"/>
      <c r="AW32" s="117"/>
      <c r="AX32" s="116"/>
      <c r="AY32" s="117"/>
      <c r="AZ32" s="124" t="s">
        <v>203</v>
      </c>
      <c r="BA32" s="119">
        <v>4303</v>
      </c>
      <c r="BB32" s="125">
        <v>0.30465873690172757</v>
      </c>
      <c r="BC32" s="126">
        <v>2</v>
      </c>
      <c r="BD32" s="126"/>
      <c r="BE32" s="126">
        <v>5</v>
      </c>
      <c r="BF32" s="126">
        <v>3</v>
      </c>
      <c r="BG32" s="126"/>
      <c r="BH32" s="126">
        <v>4</v>
      </c>
      <c r="BI32" s="126"/>
      <c r="BJ32" s="126"/>
      <c r="BK32" s="126"/>
      <c r="BL32" s="126"/>
      <c r="BM32" s="126">
        <v>1</v>
      </c>
      <c r="BN32" s="126"/>
      <c r="BO32" s="126"/>
      <c r="BP32" s="124" t="s">
        <v>7</v>
      </c>
      <c r="BQ32" s="119">
        <v>4002</v>
      </c>
      <c r="BR32" s="114">
        <v>0.28334749362786749</v>
      </c>
      <c r="BS32" s="119">
        <v>301</v>
      </c>
      <c r="BT32" s="127">
        <v>2.1311243273860081E-2</v>
      </c>
    </row>
    <row r="33" spans="1:72" ht="17.100000000000001" customHeight="1">
      <c r="A33" s="111" t="s">
        <v>247</v>
      </c>
      <c r="B33" s="112">
        <v>9079</v>
      </c>
      <c r="C33" s="113">
        <v>2502</v>
      </c>
      <c r="D33" s="114">
        <v>0.38462720983858573</v>
      </c>
      <c r="E33" s="115">
        <v>1354</v>
      </c>
      <c r="F33" s="114">
        <v>0.20814757878554957</v>
      </c>
      <c r="G33" s="113">
        <v>1340</v>
      </c>
      <c r="H33" s="114">
        <v>0.20599538816295157</v>
      </c>
      <c r="I33" s="113">
        <v>369</v>
      </c>
      <c r="J33" s="114">
        <v>5.6725595695618754E-2</v>
      </c>
      <c r="K33" s="113">
        <v>25</v>
      </c>
      <c r="L33" s="114">
        <v>3.843197540353574E-3</v>
      </c>
      <c r="M33" s="113">
        <v>616</v>
      </c>
      <c r="N33" s="114">
        <v>9.4696387394312062E-2</v>
      </c>
      <c r="O33" s="113">
        <v>18</v>
      </c>
      <c r="P33" s="114">
        <v>2.7671022290545735E-3</v>
      </c>
      <c r="Q33" s="113">
        <v>16</v>
      </c>
      <c r="R33" s="114">
        <v>2.4596464258262877E-3</v>
      </c>
      <c r="S33" s="113">
        <v>22</v>
      </c>
      <c r="T33" s="114">
        <v>3.3820138355111452E-3</v>
      </c>
      <c r="U33" s="116"/>
      <c r="V33" s="117"/>
      <c r="W33" s="113">
        <v>17</v>
      </c>
      <c r="X33" s="114">
        <v>2.6133743274404306E-3</v>
      </c>
      <c r="Y33" s="118"/>
      <c r="Z33" s="117"/>
      <c r="AA33" s="118"/>
      <c r="AB33" s="117"/>
      <c r="AC33" s="113">
        <v>16</v>
      </c>
      <c r="AD33" s="114">
        <v>2.4596464258262877E-3</v>
      </c>
      <c r="AE33" s="119">
        <v>6295</v>
      </c>
      <c r="AF33" s="114">
        <v>0.96771714066102998</v>
      </c>
      <c r="AG33" s="113">
        <v>210</v>
      </c>
      <c r="AH33" s="114">
        <v>3.2282859338970023E-2</v>
      </c>
      <c r="AI33" s="119">
        <v>6505</v>
      </c>
      <c r="AJ33" s="120">
        <v>0.71648860006608661</v>
      </c>
      <c r="AL33" s="121">
        <v>0</v>
      </c>
      <c r="AM33" s="120">
        <v>0</v>
      </c>
      <c r="AO33" s="121">
        <v>0</v>
      </c>
      <c r="AP33" s="120">
        <v>0</v>
      </c>
      <c r="AR33" s="122"/>
      <c r="AS33" s="117"/>
      <c r="AT33" s="123">
        <v>1452</v>
      </c>
      <c r="AU33" s="114">
        <v>0.22321291314373559</v>
      </c>
      <c r="AV33" s="116"/>
      <c r="AW33" s="117"/>
      <c r="AX33" s="116"/>
      <c r="AY33" s="117"/>
      <c r="AZ33" s="124" t="s">
        <v>7</v>
      </c>
      <c r="BA33" s="119">
        <v>2502</v>
      </c>
      <c r="BB33" s="125">
        <v>0.38462720983858573</v>
      </c>
      <c r="BC33" s="126">
        <v>1</v>
      </c>
      <c r="BD33" s="126"/>
      <c r="BE33" s="126">
        <v>3</v>
      </c>
      <c r="BF33" s="126">
        <v>5</v>
      </c>
      <c r="BG33" s="126"/>
      <c r="BH33" s="126">
        <v>4</v>
      </c>
      <c r="BI33" s="126"/>
      <c r="BJ33" s="126"/>
      <c r="BK33" s="126"/>
      <c r="BL33" s="126"/>
      <c r="BM33" s="126">
        <v>2</v>
      </c>
      <c r="BN33" s="126"/>
      <c r="BO33" s="126"/>
      <c r="BP33" s="124" t="s">
        <v>203</v>
      </c>
      <c r="BQ33" s="119">
        <v>1452</v>
      </c>
      <c r="BR33" s="114">
        <v>0.22321291314373559</v>
      </c>
      <c r="BS33" s="119">
        <v>1050</v>
      </c>
      <c r="BT33" s="127">
        <v>0.16141429669485013</v>
      </c>
    </row>
    <row r="34" spans="1:72" ht="17.100000000000001" customHeight="1">
      <c r="A34" s="111" t="s">
        <v>248</v>
      </c>
      <c r="B34" s="112">
        <v>29496</v>
      </c>
      <c r="C34" s="113">
        <v>4303</v>
      </c>
      <c r="D34" s="114">
        <v>0.2528202115158637</v>
      </c>
      <c r="E34" s="115">
        <v>6181</v>
      </c>
      <c r="F34" s="114">
        <v>0.36316098707403055</v>
      </c>
      <c r="G34" s="113">
        <v>1265</v>
      </c>
      <c r="H34" s="114">
        <v>7.4324324324324328E-2</v>
      </c>
      <c r="I34" s="113">
        <v>236</v>
      </c>
      <c r="J34" s="114">
        <v>1.3866039952996475E-2</v>
      </c>
      <c r="K34" s="113">
        <v>158</v>
      </c>
      <c r="L34" s="114">
        <v>9.2831962397179786E-3</v>
      </c>
      <c r="M34" s="113">
        <v>3729</v>
      </c>
      <c r="N34" s="114">
        <v>0.21909518213866039</v>
      </c>
      <c r="O34" s="113">
        <v>97</v>
      </c>
      <c r="P34" s="114">
        <v>5.6991774383078732E-3</v>
      </c>
      <c r="Q34" s="113">
        <v>69</v>
      </c>
      <c r="R34" s="114">
        <v>4.0540540540540543E-3</v>
      </c>
      <c r="S34" s="113">
        <v>116</v>
      </c>
      <c r="T34" s="114">
        <v>6.8155111633372506E-3</v>
      </c>
      <c r="U34" s="116"/>
      <c r="V34" s="117"/>
      <c r="W34" s="113">
        <v>156</v>
      </c>
      <c r="X34" s="114">
        <v>9.1656874265569916E-3</v>
      </c>
      <c r="Y34" s="118"/>
      <c r="Z34" s="117"/>
      <c r="AA34" s="113">
        <v>63</v>
      </c>
      <c r="AB34" s="114">
        <v>3.7015276145710928E-3</v>
      </c>
      <c r="AC34" s="113">
        <v>29</v>
      </c>
      <c r="AD34" s="114">
        <v>1.7038777908343127E-3</v>
      </c>
      <c r="AE34" s="119">
        <v>16402</v>
      </c>
      <c r="AF34" s="114">
        <v>0.96368977673325495</v>
      </c>
      <c r="AG34" s="113">
        <v>618</v>
      </c>
      <c r="AH34" s="114">
        <v>3.6310223266745004E-2</v>
      </c>
      <c r="AI34" s="119">
        <v>17020</v>
      </c>
      <c r="AJ34" s="120">
        <v>0.57702739354488741</v>
      </c>
      <c r="AL34" s="121">
        <v>0</v>
      </c>
      <c r="AM34" s="120">
        <v>0</v>
      </c>
      <c r="AO34" s="121">
        <v>0</v>
      </c>
      <c r="AP34" s="120">
        <v>0</v>
      </c>
      <c r="AR34" s="122"/>
      <c r="AS34" s="117"/>
      <c r="AT34" s="123">
        <v>6777</v>
      </c>
      <c r="AU34" s="114">
        <v>0.39817861339600469</v>
      </c>
      <c r="AV34" s="116"/>
      <c r="AW34" s="117"/>
      <c r="AX34" s="119">
        <v>4028</v>
      </c>
      <c r="AY34" s="114">
        <v>0.23666274970622797</v>
      </c>
      <c r="AZ34" s="124" t="s">
        <v>203</v>
      </c>
      <c r="BA34" s="119">
        <v>6777</v>
      </c>
      <c r="BB34" s="125">
        <v>0.39817861339600469</v>
      </c>
      <c r="BC34" s="126">
        <v>2</v>
      </c>
      <c r="BD34" s="126"/>
      <c r="BE34" s="126">
        <v>4</v>
      </c>
      <c r="BF34" s="126"/>
      <c r="BG34" s="126"/>
      <c r="BH34" s="126"/>
      <c r="BI34" s="126"/>
      <c r="BJ34" s="126"/>
      <c r="BK34" s="126"/>
      <c r="BL34" s="126"/>
      <c r="BM34" s="126">
        <v>1</v>
      </c>
      <c r="BN34" s="126"/>
      <c r="BO34" s="126">
        <v>3</v>
      </c>
      <c r="BP34" s="124" t="s">
        <v>7</v>
      </c>
      <c r="BQ34" s="119">
        <v>4303</v>
      </c>
      <c r="BR34" s="114">
        <v>0.2528202115158637</v>
      </c>
      <c r="BS34" s="119">
        <v>2474</v>
      </c>
      <c r="BT34" s="127">
        <v>0.14535840188014099</v>
      </c>
    </row>
    <row r="35" spans="1:72" ht="17.100000000000001" customHeight="1">
      <c r="A35" s="111" t="s">
        <v>249</v>
      </c>
      <c r="B35" s="112">
        <v>59007</v>
      </c>
      <c r="C35" s="113">
        <v>7451</v>
      </c>
      <c r="D35" s="114">
        <v>0.22995494105302142</v>
      </c>
      <c r="E35" s="115">
        <v>16700</v>
      </c>
      <c r="F35" s="114">
        <v>0.51540028393309056</v>
      </c>
      <c r="G35" s="113">
        <v>2777</v>
      </c>
      <c r="H35" s="114">
        <v>8.5704586136658226E-2</v>
      </c>
      <c r="I35" s="113">
        <v>944</v>
      </c>
      <c r="J35" s="114">
        <v>2.9134004073822602E-2</v>
      </c>
      <c r="K35" s="113">
        <v>630</v>
      </c>
      <c r="L35" s="114">
        <v>1.9443244244182457E-2</v>
      </c>
      <c r="M35" s="113">
        <v>1233</v>
      </c>
      <c r="N35" s="114">
        <v>3.8053206592185668E-2</v>
      </c>
      <c r="O35" s="113">
        <v>330</v>
      </c>
      <c r="P35" s="114">
        <v>1.0184556508857478E-2</v>
      </c>
      <c r="Q35" s="113">
        <v>207</v>
      </c>
      <c r="R35" s="114">
        <v>6.388494537374236E-3</v>
      </c>
      <c r="S35" s="113">
        <v>85</v>
      </c>
      <c r="T35" s="114">
        <v>2.6232948583420775E-3</v>
      </c>
      <c r="U35" s="116"/>
      <c r="V35" s="117"/>
      <c r="W35" s="113">
        <v>350</v>
      </c>
      <c r="X35" s="114">
        <v>1.0801802357879144E-2</v>
      </c>
      <c r="Y35" s="118"/>
      <c r="Z35" s="117"/>
      <c r="AA35" s="118"/>
      <c r="AB35" s="117"/>
      <c r="AC35" s="113">
        <v>54</v>
      </c>
      <c r="AD35" s="114">
        <v>1.6665637923584963E-3</v>
      </c>
      <c r="AE35" s="119">
        <v>30761</v>
      </c>
      <c r="AF35" s="114">
        <v>0.94935497808777236</v>
      </c>
      <c r="AG35" s="113">
        <v>1302</v>
      </c>
      <c r="AH35" s="114">
        <v>4.0182704771310411E-2</v>
      </c>
      <c r="AI35" s="119">
        <v>32402</v>
      </c>
      <c r="AJ35" s="120">
        <v>0.54912129069432436</v>
      </c>
      <c r="AL35" s="121">
        <v>339</v>
      </c>
      <c r="AM35" s="120">
        <v>1.0462317140917228E-2</v>
      </c>
      <c r="AO35" s="121">
        <v>0</v>
      </c>
      <c r="AP35" s="120">
        <v>0</v>
      </c>
      <c r="AR35" s="122"/>
      <c r="AS35" s="117"/>
      <c r="AT35" s="123">
        <v>18302</v>
      </c>
      <c r="AU35" s="114">
        <v>0.56484167643972594</v>
      </c>
      <c r="AV35" s="116"/>
      <c r="AW35" s="117"/>
      <c r="AX35" s="116"/>
      <c r="AY35" s="117"/>
      <c r="AZ35" s="124" t="s">
        <v>203</v>
      </c>
      <c r="BA35" s="119">
        <v>18302</v>
      </c>
      <c r="BB35" s="125">
        <v>0.56484167643972594</v>
      </c>
      <c r="BC35" s="126">
        <v>2</v>
      </c>
      <c r="BD35" s="126"/>
      <c r="BE35" s="126">
        <v>3</v>
      </c>
      <c r="BF35" s="126">
        <v>5</v>
      </c>
      <c r="BG35" s="126"/>
      <c r="BH35" s="126">
        <v>4</v>
      </c>
      <c r="BI35" s="126"/>
      <c r="BJ35" s="126"/>
      <c r="BK35" s="126"/>
      <c r="BL35" s="126"/>
      <c r="BM35" s="126">
        <v>1</v>
      </c>
      <c r="BN35" s="126"/>
      <c r="BO35" s="126"/>
      <c r="BP35" s="124" t="s">
        <v>7</v>
      </c>
      <c r="BQ35" s="119">
        <v>7451</v>
      </c>
      <c r="BR35" s="114">
        <v>0.22995494105302142</v>
      </c>
      <c r="BS35" s="119">
        <v>10851</v>
      </c>
      <c r="BT35" s="127">
        <v>0.33488673538670455</v>
      </c>
    </row>
    <row r="36" spans="1:72" ht="17.100000000000001" customHeight="1">
      <c r="A36" s="111" t="s">
        <v>250</v>
      </c>
      <c r="B36" s="112">
        <v>356014</v>
      </c>
      <c r="C36" s="133">
        <v>59026</v>
      </c>
      <c r="D36" s="114">
        <v>0.31214172395557904</v>
      </c>
      <c r="E36" s="134">
        <v>84379</v>
      </c>
      <c r="F36" s="114">
        <v>0.44621364357482812</v>
      </c>
      <c r="G36" s="133">
        <v>8122</v>
      </c>
      <c r="H36" s="114">
        <v>4.2950819672131151E-2</v>
      </c>
      <c r="I36" s="113">
        <v>9417</v>
      </c>
      <c r="J36" s="114">
        <v>4.9799048122686408E-2</v>
      </c>
      <c r="K36" s="113">
        <v>4898</v>
      </c>
      <c r="L36" s="114">
        <v>2.5901639344262296E-2</v>
      </c>
      <c r="M36" s="133">
        <v>2312</v>
      </c>
      <c r="N36" s="114">
        <v>1.2226335272342676E-2</v>
      </c>
      <c r="O36" s="113">
        <v>2491</v>
      </c>
      <c r="P36" s="114">
        <v>1.3172924378635643E-2</v>
      </c>
      <c r="Q36" s="113">
        <v>1361</v>
      </c>
      <c r="R36" s="114">
        <v>7.1972501322051822E-3</v>
      </c>
      <c r="S36" s="113">
        <v>472</v>
      </c>
      <c r="T36" s="114">
        <v>2.4960338445267054E-3</v>
      </c>
      <c r="U36" s="116"/>
      <c r="V36" s="117"/>
      <c r="W36" s="113">
        <v>1348</v>
      </c>
      <c r="X36" s="114">
        <v>7.1285034373347435E-3</v>
      </c>
      <c r="Y36" s="118"/>
      <c r="Z36" s="117"/>
      <c r="AA36" s="118"/>
      <c r="AB36" s="117"/>
      <c r="AC36" s="113">
        <v>463</v>
      </c>
      <c r="AD36" s="114">
        <v>2.448439978847171E-3</v>
      </c>
      <c r="AE36" s="119">
        <v>174289</v>
      </c>
      <c r="AF36" s="114">
        <v>0.92167636171337919</v>
      </c>
      <c r="AG36" s="133">
        <v>9918</v>
      </c>
      <c r="AH36" s="114">
        <v>5.2448439978847169E-2</v>
      </c>
      <c r="AI36" s="135">
        <v>189100</v>
      </c>
      <c r="AJ36" s="120">
        <v>0.53115888701006142</v>
      </c>
      <c r="AL36" s="121">
        <v>3608</v>
      </c>
      <c r="AM36" s="120">
        <v>1.9079851930195665E-2</v>
      </c>
      <c r="AO36" s="121">
        <v>1285</v>
      </c>
      <c r="AP36" s="120">
        <v>6.7953463775780008E-3</v>
      </c>
      <c r="AR36" s="122"/>
      <c r="AS36" s="117"/>
      <c r="AT36" s="123">
        <v>94949</v>
      </c>
      <c r="AU36" s="114">
        <v>0.50210999471179274</v>
      </c>
      <c r="AV36" s="116"/>
      <c r="AW36" s="117"/>
      <c r="AX36" s="116"/>
      <c r="AY36" s="117"/>
      <c r="AZ36" s="124" t="s">
        <v>203</v>
      </c>
      <c r="BA36" s="119">
        <v>94949</v>
      </c>
      <c r="BB36" s="125">
        <v>0.50210999471179274</v>
      </c>
      <c r="BC36" s="126">
        <v>2</v>
      </c>
      <c r="BD36" s="126"/>
      <c r="BE36" s="126">
        <v>4</v>
      </c>
      <c r="BF36" s="126">
        <v>3</v>
      </c>
      <c r="BG36" s="126"/>
      <c r="BH36" s="126">
        <v>5</v>
      </c>
      <c r="BI36" s="126"/>
      <c r="BJ36" s="126"/>
      <c r="BK36" s="126"/>
      <c r="BL36" s="126"/>
      <c r="BM36" s="126">
        <v>1</v>
      </c>
      <c r="BN36" s="126"/>
      <c r="BO36" s="126"/>
      <c r="BP36" s="124" t="s">
        <v>7</v>
      </c>
      <c r="BQ36" s="119">
        <v>59026</v>
      </c>
      <c r="BR36" s="114">
        <v>0.31214172395557904</v>
      </c>
      <c r="BS36" s="119">
        <v>35923</v>
      </c>
      <c r="BT36" s="127">
        <v>0.1899682707562137</v>
      </c>
    </row>
    <row r="37" spans="1:72" ht="17.100000000000001" customHeight="1">
      <c r="A37" s="111" t="s">
        <v>251</v>
      </c>
      <c r="B37" s="136">
        <v>170451</v>
      </c>
      <c r="C37" s="113">
        <v>5052</v>
      </c>
      <c r="D37" s="137">
        <v>5.6942550241769141E-2</v>
      </c>
      <c r="E37" s="115">
        <v>32712</v>
      </c>
      <c r="F37" s="137">
        <v>0.36870639420204909</v>
      </c>
      <c r="G37" s="113">
        <v>10312</v>
      </c>
      <c r="H37" s="138">
        <v>0.11622952852199592</v>
      </c>
      <c r="I37" s="113">
        <v>1290</v>
      </c>
      <c r="J37" s="114">
        <v>1.4539962353895921E-2</v>
      </c>
      <c r="K37" s="113">
        <v>1863</v>
      </c>
      <c r="L37" s="139">
        <v>2.0998410748300854E-2</v>
      </c>
      <c r="M37" s="113">
        <v>25835</v>
      </c>
      <c r="N37" s="138">
        <v>0.2911937421805435</v>
      </c>
      <c r="O37" s="113">
        <v>723</v>
      </c>
      <c r="P37" s="114">
        <v>8.1491416913695748E-3</v>
      </c>
      <c r="Q37" s="113">
        <v>477</v>
      </c>
      <c r="R37" s="114">
        <v>5.3764046843475617E-3</v>
      </c>
      <c r="S37" s="113">
        <v>296</v>
      </c>
      <c r="T37" s="114">
        <v>3.3363014393435601E-3</v>
      </c>
      <c r="U37" s="116"/>
      <c r="V37" s="117"/>
      <c r="W37" s="113">
        <v>1278</v>
      </c>
      <c r="X37" s="114">
        <v>1.4404706890138749E-2</v>
      </c>
      <c r="Y37" s="113">
        <v>440</v>
      </c>
      <c r="Z37" s="114">
        <v>4.9593670044296165E-3</v>
      </c>
      <c r="AA37" s="118"/>
      <c r="AB37" s="117"/>
      <c r="AC37" s="113">
        <v>72</v>
      </c>
      <c r="AD37" s="114">
        <v>8.1153278254302811E-4</v>
      </c>
      <c r="AE37" s="119">
        <v>80350</v>
      </c>
      <c r="AF37" s="139">
        <v>0.90564804274072652</v>
      </c>
      <c r="AG37" s="113">
        <v>4379</v>
      </c>
      <c r="AH37" s="137">
        <v>4.9356972982721112E-2</v>
      </c>
      <c r="AI37" s="119">
        <v>88721</v>
      </c>
      <c r="AJ37" s="140">
        <v>0.52050735988641894</v>
      </c>
      <c r="AL37" s="121">
        <v>3992</v>
      </c>
      <c r="AM37" s="120">
        <v>4.4994984276552338E-2</v>
      </c>
      <c r="AO37" s="121">
        <v>0</v>
      </c>
      <c r="AP37" s="120">
        <v>0</v>
      </c>
      <c r="AR37" s="122"/>
      <c r="AS37" s="117"/>
      <c r="AT37" s="123">
        <v>37349</v>
      </c>
      <c r="AU37" s="114">
        <v>0.42097135965554944</v>
      </c>
      <c r="AV37" s="119">
        <v>12042</v>
      </c>
      <c r="AW37" s="114">
        <v>0.13572885788032146</v>
      </c>
      <c r="AX37" s="116"/>
      <c r="AY37" s="117"/>
      <c r="AZ37" s="124" t="s">
        <v>203</v>
      </c>
      <c r="BA37" s="119">
        <v>37349</v>
      </c>
      <c r="BB37" s="125">
        <v>0.42097135965554944</v>
      </c>
      <c r="BC37" s="126">
        <v>4</v>
      </c>
      <c r="BD37" s="126"/>
      <c r="BE37" s="126"/>
      <c r="BF37" s="126"/>
      <c r="BG37" s="126"/>
      <c r="BH37" s="126">
        <v>2</v>
      </c>
      <c r="BI37" s="126"/>
      <c r="BJ37" s="126"/>
      <c r="BK37" s="126"/>
      <c r="BL37" s="126"/>
      <c r="BM37" s="126">
        <v>1</v>
      </c>
      <c r="BN37" s="126">
        <v>3</v>
      </c>
      <c r="BO37" s="126"/>
      <c r="BP37" s="124" t="s">
        <v>199</v>
      </c>
      <c r="BQ37" s="119">
        <v>25835</v>
      </c>
      <c r="BR37" s="128">
        <v>0.2911937421805435</v>
      </c>
      <c r="BS37" s="119">
        <v>11514</v>
      </c>
      <c r="BT37" s="127">
        <v>0.12977761747500594</v>
      </c>
    </row>
    <row r="38" spans="1:72" ht="17.100000000000001" customHeight="1">
      <c r="A38" s="111" t="s">
        <v>252</v>
      </c>
      <c r="B38" s="112">
        <v>16882</v>
      </c>
      <c r="C38" s="141">
        <v>5186</v>
      </c>
      <c r="D38" s="114">
        <v>0.40626713670191933</v>
      </c>
      <c r="E38" s="142">
        <v>5131</v>
      </c>
      <c r="F38" s="114">
        <v>0.40195848021934977</v>
      </c>
      <c r="G38" s="141">
        <v>1289</v>
      </c>
      <c r="H38" s="114">
        <v>0.10097924010967489</v>
      </c>
      <c r="I38" s="113">
        <v>134</v>
      </c>
      <c r="J38" s="114">
        <v>1.0497453975714846E-2</v>
      </c>
      <c r="K38" s="113">
        <v>47</v>
      </c>
      <c r="L38" s="114">
        <v>3.681942812377595E-3</v>
      </c>
      <c r="M38" s="141">
        <v>303</v>
      </c>
      <c r="N38" s="114">
        <v>2.3736780258519389E-2</v>
      </c>
      <c r="O38" s="113">
        <v>41</v>
      </c>
      <c r="P38" s="114">
        <v>3.2119075597336465E-3</v>
      </c>
      <c r="Q38" s="113">
        <v>39</v>
      </c>
      <c r="R38" s="114">
        <v>3.0552291421856639E-3</v>
      </c>
      <c r="S38" s="113">
        <v>10</v>
      </c>
      <c r="T38" s="114">
        <v>7.833920877399138E-4</v>
      </c>
      <c r="U38" s="116"/>
      <c r="V38" s="117"/>
      <c r="W38" s="113">
        <v>95</v>
      </c>
      <c r="X38" s="114">
        <v>7.4422248335291813E-3</v>
      </c>
      <c r="Y38" s="113">
        <v>82</v>
      </c>
      <c r="Z38" s="114">
        <v>6.4238151194672931E-3</v>
      </c>
      <c r="AA38" s="118"/>
      <c r="AB38" s="117"/>
      <c r="AC38" s="113">
        <v>7</v>
      </c>
      <c r="AD38" s="114">
        <v>5.4837446141793968E-4</v>
      </c>
      <c r="AE38" s="119">
        <v>12364</v>
      </c>
      <c r="AF38" s="114">
        <v>0.96858597728162943</v>
      </c>
      <c r="AG38" s="141">
        <v>401</v>
      </c>
      <c r="AH38" s="114">
        <v>3.1414022718370543E-2</v>
      </c>
      <c r="AI38" s="143">
        <v>12765</v>
      </c>
      <c r="AJ38" s="120">
        <v>0.7561307901907357</v>
      </c>
      <c r="AL38" s="121">
        <v>0</v>
      </c>
      <c r="AM38" s="120">
        <v>0</v>
      </c>
      <c r="AO38" s="121">
        <v>0</v>
      </c>
      <c r="AP38" s="120">
        <v>0</v>
      </c>
      <c r="AR38" s="122"/>
      <c r="AS38" s="117"/>
      <c r="AT38" s="123">
        <v>5363</v>
      </c>
      <c r="AU38" s="114">
        <v>0.42013317665491579</v>
      </c>
      <c r="AV38" s="119">
        <v>1505</v>
      </c>
      <c r="AW38" s="114">
        <v>0.11790050920485703</v>
      </c>
      <c r="AX38" s="116"/>
      <c r="AY38" s="117"/>
      <c r="AZ38" s="124" t="s">
        <v>203</v>
      </c>
      <c r="BA38" s="119">
        <v>5363</v>
      </c>
      <c r="BB38" s="125">
        <v>0.42013317665491579</v>
      </c>
      <c r="BC38" s="126">
        <v>2</v>
      </c>
      <c r="BD38" s="126"/>
      <c r="BE38" s="126"/>
      <c r="BF38" s="126"/>
      <c r="BG38" s="126"/>
      <c r="BH38" s="126">
        <v>4</v>
      </c>
      <c r="BI38" s="126"/>
      <c r="BJ38" s="126"/>
      <c r="BK38" s="126"/>
      <c r="BL38" s="126"/>
      <c r="BM38" s="126">
        <v>1</v>
      </c>
      <c r="BN38" s="126">
        <v>3</v>
      </c>
      <c r="BO38" s="126"/>
      <c r="BP38" s="124" t="s">
        <v>7</v>
      </c>
      <c r="BQ38" s="119">
        <v>5186</v>
      </c>
      <c r="BR38" s="128">
        <v>0.40626713670191933</v>
      </c>
      <c r="BS38" s="119">
        <v>177</v>
      </c>
      <c r="BT38" s="127">
        <v>1.3866039952996456E-2</v>
      </c>
    </row>
    <row r="39" spans="1:72" ht="17.100000000000001" customHeight="1">
      <c r="A39" s="111" t="s">
        <v>253</v>
      </c>
      <c r="B39" s="112">
        <v>4623</v>
      </c>
      <c r="C39" s="113">
        <v>403</v>
      </c>
      <c r="D39" s="114">
        <v>0.11908983451536644</v>
      </c>
      <c r="E39" s="115">
        <v>1527</v>
      </c>
      <c r="F39" s="114">
        <v>0.45124113475177308</v>
      </c>
      <c r="G39" s="113">
        <v>198</v>
      </c>
      <c r="H39" s="114">
        <v>5.8510638297872342E-2</v>
      </c>
      <c r="I39" s="113">
        <v>1045</v>
      </c>
      <c r="J39" s="114">
        <v>0.30880614657210403</v>
      </c>
      <c r="K39" s="113">
        <v>16</v>
      </c>
      <c r="L39" s="114">
        <v>4.7281323877068557E-3</v>
      </c>
      <c r="M39" s="113">
        <v>67</v>
      </c>
      <c r="N39" s="114">
        <v>1.9799054373522459E-2</v>
      </c>
      <c r="O39" s="113">
        <v>18</v>
      </c>
      <c r="P39" s="114">
        <v>5.3191489361702126E-3</v>
      </c>
      <c r="Q39" s="113">
        <v>5</v>
      </c>
      <c r="R39" s="114">
        <v>1.4775413711583924E-3</v>
      </c>
      <c r="S39" s="113">
        <v>1</v>
      </c>
      <c r="T39" s="114">
        <v>2.9550827423167848E-4</v>
      </c>
      <c r="U39" s="116"/>
      <c r="V39" s="117"/>
      <c r="W39" s="113">
        <v>37</v>
      </c>
      <c r="X39" s="114">
        <v>1.0933806146572104E-2</v>
      </c>
      <c r="Y39" s="118"/>
      <c r="Z39" s="117"/>
      <c r="AA39" s="118"/>
      <c r="AB39" s="117"/>
      <c r="AC39" s="113">
        <v>0</v>
      </c>
      <c r="AD39" s="114">
        <v>0</v>
      </c>
      <c r="AE39" s="119">
        <v>3317</v>
      </c>
      <c r="AF39" s="114">
        <v>0.98020094562647753</v>
      </c>
      <c r="AG39" s="113">
        <v>67</v>
      </c>
      <c r="AH39" s="114">
        <v>1.9799054373522459E-2</v>
      </c>
      <c r="AI39" s="119">
        <v>3384</v>
      </c>
      <c r="AJ39" s="120">
        <v>0.73199221284879945</v>
      </c>
      <c r="AL39" s="121">
        <v>0</v>
      </c>
      <c r="AM39" s="120">
        <v>0</v>
      </c>
      <c r="AO39" s="121">
        <v>0</v>
      </c>
      <c r="AP39" s="120">
        <v>0</v>
      </c>
      <c r="AR39" s="122"/>
      <c r="AS39" s="117"/>
      <c r="AT39" s="123">
        <v>1604</v>
      </c>
      <c r="AU39" s="114">
        <v>0.47399527186761231</v>
      </c>
      <c r="AV39" s="116"/>
      <c r="AW39" s="117"/>
      <c r="AX39" s="116"/>
      <c r="AY39" s="117"/>
      <c r="AZ39" s="124" t="s">
        <v>203</v>
      </c>
      <c r="BA39" s="119">
        <v>1604</v>
      </c>
      <c r="BB39" s="125">
        <v>0.47399527186761231</v>
      </c>
      <c r="BC39" s="126">
        <v>3</v>
      </c>
      <c r="BD39" s="126"/>
      <c r="BE39" s="126">
        <v>4</v>
      </c>
      <c r="BF39" s="126">
        <v>2</v>
      </c>
      <c r="BG39" s="126"/>
      <c r="BH39" s="126">
        <v>5</v>
      </c>
      <c r="BI39" s="126"/>
      <c r="BJ39" s="126"/>
      <c r="BK39" s="126"/>
      <c r="BL39" s="126"/>
      <c r="BM39" s="126">
        <v>1</v>
      </c>
      <c r="BN39" s="126"/>
      <c r="BO39" s="126"/>
      <c r="BP39" s="124" t="s">
        <v>11</v>
      </c>
      <c r="BQ39" s="119">
        <v>1045</v>
      </c>
      <c r="BR39" s="114">
        <v>0.30880614657210403</v>
      </c>
      <c r="BS39" s="119">
        <v>559</v>
      </c>
      <c r="BT39" s="127">
        <v>0.16518912529550828</v>
      </c>
    </row>
    <row r="40" spans="1:72" ht="17.100000000000001" customHeight="1">
      <c r="A40" s="111" t="s">
        <v>254</v>
      </c>
      <c r="B40" s="112">
        <v>15945</v>
      </c>
      <c r="C40" s="113">
        <v>448</v>
      </c>
      <c r="D40" s="114">
        <v>4.2034152749108648E-2</v>
      </c>
      <c r="E40" s="115">
        <v>4572</v>
      </c>
      <c r="F40" s="114">
        <v>0.4289735410020642</v>
      </c>
      <c r="G40" s="113">
        <v>4335</v>
      </c>
      <c r="H40" s="114">
        <v>0.40673672358791518</v>
      </c>
      <c r="I40" s="113">
        <v>261</v>
      </c>
      <c r="J40" s="114">
        <v>2.4488647025708389E-2</v>
      </c>
      <c r="K40" s="113">
        <v>89</v>
      </c>
      <c r="L40" s="114">
        <v>8.3505348095327461E-3</v>
      </c>
      <c r="M40" s="113">
        <v>516</v>
      </c>
      <c r="N40" s="114">
        <v>4.8414336648526929E-2</v>
      </c>
      <c r="O40" s="113">
        <v>89</v>
      </c>
      <c r="P40" s="114">
        <v>8.3505348095327461E-3</v>
      </c>
      <c r="Q40" s="113">
        <v>36</v>
      </c>
      <c r="R40" s="114">
        <v>3.377744417339088E-3</v>
      </c>
      <c r="S40" s="113">
        <v>8</v>
      </c>
      <c r="T40" s="114">
        <v>7.5060987051979737E-4</v>
      </c>
      <c r="U40" s="116"/>
      <c r="V40" s="117"/>
      <c r="W40" s="113">
        <v>54</v>
      </c>
      <c r="X40" s="114">
        <v>5.0666166260086324E-3</v>
      </c>
      <c r="Y40" s="118"/>
      <c r="Z40" s="117"/>
      <c r="AA40" s="118"/>
      <c r="AB40" s="117"/>
      <c r="AC40" s="113">
        <v>20</v>
      </c>
      <c r="AD40" s="114">
        <v>1.8765246762994933E-3</v>
      </c>
      <c r="AE40" s="119">
        <v>10428</v>
      </c>
      <c r="AF40" s="114">
        <v>0.97841996622255578</v>
      </c>
      <c r="AG40" s="113">
        <v>230</v>
      </c>
      <c r="AH40" s="114">
        <v>2.1580033777444173E-2</v>
      </c>
      <c r="AI40" s="119">
        <v>10658</v>
      </c>
      <c r="AJ40" s="120">
        <v>0.66842270304170581</v>
      </c>
      <c r="AL40" s="121">
        <v>0</v>
      </c>
      <c r="AM40" s="120">
        <v>0</v>
      </c>
      <c r="AO40" s="121">
        <v>0</v>
      </c>
      <c r="AP40" s="120">
        <v>0</v>
      </c>
      <c r="AR40" s="122"/>
      <c r="AS40" s="117"/>
      <c r="AT40" s="123">
        <v>4848</v>
      </c>
      <c r="AU40" s="114">
        <v>0.45486958153499718</v>
      </c>
      <c r="AV40" s="116"/>
      <c r="AW40" s="117"/>
      <c r="AX40" s="116"/>
      <c r="AY40" s="117"/>
      <c r="AZ40" s="124" t="s">
        <v>203</v>
      </c>
      <c r="BA40" s="119">
        <v>4848</v>
      </c>
      <c r="BB40" s="125">
        <v>0.45486958153499718</v>
      </c>
      <c r="BC40" s="126">
        <v>4</v>
      </c>
      <c r="BD40" s="126"/>
      <c r="BE40" s="126">
        <v>2</v>
      </c>
      <c r="BF40" s="126">
        <v>5</v>
      </c>
      <c r="BG40" s="126"/>
      <c r="BH40" s="126">
        <v>3</v>
      </c>
      <c r="BI40" s="126"/>
      <c r="BJ40" s="126"/>
      <c r="BK40" s="126"/>
      <c r="BL40" s="126"/>
      <c r="BM40" s="126">
        <v>1</v>
      </c>
      <c r="BN40" s="126"/>
      <c r="BO40" s="126"/>
      <c r="BP40" s="124" t="s">
        <v>10</v>
      </c>
      <c r="BQ40" s="119">
        <v>4335</v>
      </c>
      <c r="BR40" s="114">
        <v>0.40673672358791518</v>
      </c>
      <c r="BS40" s="119">
        <v>513</v>
      </c>
      <c r="BT40" s="127">
        <v>4.8132857947081997E-2</v>
      </c>
    </row>
    <row r="41" spans="1:72" ht="17.100000000000001" customHeight="1">
      <c r="A41" s="111" t="s">
        <v>255</v>
      </c>
      <c r="B41" s="112">
        <v>105033</v>
      </c>
      <c r="C41" s="113">
        <v>1460</v>
      </c>
      <c r="D41" s="114">
        <v>2.8849193803351249E-2</v>
      </c>
      <c r="E41" s="115">
        <v>14528</v>
      </c>
      <c r="F41" s="114">
        <v>0.28706923806512802</v>
      </c>
      <c r="G41" s="113">
        <v>18456</v>
      </c>
      <c r="H41" s="114">
        <v>0.36468542522921277</v>
      </c>
      <c r="I41" s="113">
        <v>865</v>
      </c>
      <c r="J41" s="114">
        <v>1.7092159342396458E-2</v>
      </c>
      <c r="K41" s="113">
        <v>1250</v>
      </c>
      <c r="L41" s="114">
        <v>2.4699652228896616E-2</v>
      </c>
      <c r="M41" s="113">
        <v>10016</v>
      </c>
      <c r="N41" s="114">
        <v>0.1979133733797028</v>
      </c>
      <c r="O41" s="113">
        <v>512</v>
      </c>
      <c r="P41" s="114">
        <v>1.0116977552956055E-2</v>
      </c>
      <c r="Q41" s="113">
        <v>211</v>
      </c>
      <c r="R41" s="114">
        <v>4.169301296237749E-3</v>
      </c>
      <c r="S41" s="113">
        <v>107</v>
      </c>
      <c r="T41" s="114">
        <v>2.1142902307935505E-3</v>
      </c>
      <c r="U41" s="116"/>
      <c r="V41" s="117"/>
      <c r="W41" s="113">
        <v>432</v>
      </c>
      <c r="X41" s="114">
        <v>8.5361998103066702E-3</v>
      </c>
      <c r="Y41" s="113">
        <v>257</v>
      </c>
      <c r="Z41" s="114">
        <v>5.0782484982611446E-3</v>
      </c>
      <c r="AA41" s="118"/>
      <c r="AB41" s="117"/>
      <c r="AC41" s="113">
        <v>71</v>
      </c>
      <c r="AD41" s="114">
        <v>1.4029402466013278E-3</v>
      </c>
      <c r="AE41" s="119">
        <v>48165</v>
      </c>
      <c r="AF41" s="114">
        <v>0.95172699968384444</v>
      </c>
      <c r="AG41" s="113">
        <v>2443</v>
      </c>
      <c r="AH41" s="114">
        <v>4.827300031615555E-2</v>
      </c>
      <c r="AI41" s="119">
        <v>50608</v>
      </c>
      <c r="AJ41" s="120">
        <v>0.48182952024601794</v>
      </c>
      <c r="AL41" s="121">
        <v>0</v>
      </c>
      <c r="AM41" s="120">
        <v>0</v>
      </c>
      <c r="AO41" s="121">
        <v>0</v>
      </c>
      <c r="AP41" s="120">
        <v>0</v>
      </c>
      <c r="AR41" s="122"/>
      <c r="AS41" s="117"/>
      <c r="AT41" s="123">
        <v>17040</v>
      </c>
      <c r="AU41" s="114">
        <v>0.33670565918431866</v>
      </c>
      <c r="AV41" s="119">
        <v>19578</v>
      </c>
      <c r="AW41" s="114">
        <v>0.38685583306987037</v>
      </c>
      <c r="AX41" s="116"/>
      <c r="AY41" s="117"/>
      <c r="AZ41" s="124" t="s">
        <v>256</v>
      </c>
      <c r="BA41" s="119">
        <v>19578</v>
      </c>
      <c r="BB41" s="125">
        <v>0.38685583306987037</v>
      </c>
      <c r="BC41" s="126">
        <v>4</v>
      </c>
      <c r="BD41" s="126"/>
      <c r="BE41" s="126"/>
      <c r="BF41" s="126"/>
      <c r="BG41" s="126"/>
      <c r="BH41" s="126">
        <v>3</v>
      </c>
      <c r="BI41" s="126"/>
      <c r="BJ41" s="126"/>
      <c r="BK41" s="126"/>
      <c r="BL41" s="126"/>
      <c r="BM41" s="126">
        <v>2</v>
      </c>
      <c r="BN41" s="126">
        <v>1</v>
      </c>
      <c r="BO41" s="126"/>
      <c r="BP41" s="124" t="s">
        <v>203</v>
      </c>
      <c r="BQ41" s="119">
        <v>17040</v>
      </c>
      <c r="BR41" s="128">
        <v>0.33670565918431866</v>
      </c>
      <c r="BS41" s="119">
        <v>2538</v>
      </c>
      <c r="BT41" s="127">
        <v>5.0150173885551708E-2</v>
      </c>
    </row>
    <row r="42" spans="1:72" ht="17.100000000000001" customHeight="1">
      <c r="A42" s="111" t="s">
        <v>257</v>
      </c>
      <c r="B42" s="112">
        <v>14829</v>
      </c>
      <c r="C42" s="113">
        <v>1664</v>
      </c>
      <c r="D42" s="114">
        <v>0.17567567567567569</v>
      </c>
      <c r="E42" s="115">
        <v>2976</v>
      </c>
      <c r="F42" s="114">
        <v>0.3141891891891892</v>
      </c>
      <c r="G42" s="113">
        <v>1296</v>
      </c>
      <c r="H42" s="114">
        <v>0.13682432432432431</v>
      </c>
      <c r="I42" s="113">
        <v>1268</v>
      </c>
      <c r="J42" s="114">
        <v>0.13386824324324326</v>
      </c>
      <c r="K42" s="113">
        <v>44</v>
      </c>
      <c r="L42" s="114">
        <v>4.6452702702702705E-3</v>
      </c>
      <c r="M42" s="113">
        <v>1871</v>
      </c>
      <c r="N42" s="114">
        <v>0.1975295608108108</v>
      </c>
      <c r="O42" s="113">
        <v>21</v>
      </c>
      <c r="P42" s="114">
        <v>2.2170608108108107E-3</v>
      </c>
      <c r="Q42" s="113">
        <v>25</v>
      </c>
      <c r="R42" s="114">
        <v>2.639358108108108E-3</v>
      </c>
      <c r="S42" s="113">
        <v>21</v>
      </c>
      <c r="T42" s="114">
        <v>2.2170608108108107E-3</v>
      </c>
      <c r="U42" s="116"/>
      <c r="V42" s="117"/>
      <c r="W42" s="113">
        <v>19</v>
      </c>
      <c r="X42" s="114">
        <v>2.0059121621621621E-3</v>
      </c>
      <c r="Y42" s="118"/>
      <c r="Z42" s="117"/>
      <c r="AA42" s="118"/>
      <c r="AB42" s="117"/>
      <c r="AC42" s="113">
        <v>3</v>
      </c>
      <c r="AD42" s="114">
        <v>3.1672297297297299E-4</v>
      </c>
      <c r="AE42" s="119">
        <v>9208</v>
      </c>
      <c r="AF42" s="114">
        <v>0.9721283783783784</v>
      </c>
      <c r="AG42" s="113">
        <v>264</v>
      </c>
      <c r="AH42" s="114">
        <v>2.7871621621621621E-2</v>
      </c>
      <c r="AI42" s="119">
        <v>9472</v>
      </c>
      <c r="AJ42" s="120">
        <v>0.63874839840852382</v>
      </c>
      <c r="AL42" s="121">
        <v>0</v>
      </c>
      <c r="AM42" s="120">
        <v>0</v>
      </c>
      <c r="AO42" s="121">
        <v>0</v>
      </c>
      <c r="AP42" s="120">
        <v>0</v>
      </c>
      <c r="AR42" s="122"/>
      <c r="AS42" s="117"/>
      <c r="AT42" s="123">
        <v>3106</v>
      </c>
      <c r="AU42" s="114">
        <v>0.32791385135135137</v>
      </c>
      <c r="AV42" s="116"/>
      <c r="AW42" s="117"/>
      <c r="AX42" s="116"/>
      <c r="AY42" s="117"/>
      <c r="AZ42" s="124" t="s">
        <v>203</v>
      </c>
      <c r="BA42" s="119">
        <v>3106</v>
      </c>
      <c r="BB42" s="125">
        <v>0.32791385135135137</v>
      </c>
      <c r="BC42" s="126">
        <v>3</v>
      </c>
      <c r="BD42" s="126"/>
      <c r="BE42" s="126">
        <v>4</v>
      </c>
      <c r="BF42" s="126">
        <v>5</v>
      </c>
      <c r="BG42" s="126"/>
      <c r="BH42" s="126">
        <v>2</v>
      </c>
      <c r="BI42" s="126"/>
      <c r="BJ42" s="126"/>
      <c r="BK42" s="126"/>
      <c r="BL42" s="126"/>
      <c r="BM42" s="126">
        <v>1</v>
      </c>
      <c r="BN42" s="126"/>
      <c r="BO42" s="126"/>
      <c r="BP42" s="124" t="s">
        <v>199</v>
      </c>
      <c r="BQ42" s="119">
        <v>1871</v>
      </c>
      <c r="BR42" s="114">
        <v>0.1975295608108108</v>
      </c>
      <c r="BS42" s="119">
        <v>1235</v>
      </c>
      <c r="BT42" s="127">
        <v>0.13038429054054057</v>
      </c>
    </row>
    <row r="43" spans="1:72" ht="17.100000000000001" customHeight="1">
      <c r="A43" s="111" t="s">
        <v>258</v>
      </c>
      <c r="B43" s="112">
        <v>357399</v>
      </c>
      <c r="C43" s="113">
        <v>11522</v>
      </c>
      <c r="D43" s="114">
        <v>7.938979687456936E-2</v>
      </c>
      <c r="E43" s="115">
        <v>69867</v>
      </c>
      <c r="F43" s="114">
        <v>0.48140313645508914</v>
      </c>
      <c r="G43" s="113">
        <v>33791</v>
      </c>
      <c r="H43" s="114">
        <v>0.23282942424827055</v>
      </c>
      <c r="I43" s="113">
        <v>3443</v>
      </c>
      <c r="J43" s="114">
        <v>2.3723231265330873E-2</v>
      </c>
      <c r="K43" s="113">
        <v>5503</v>
      </c>
      <c r="L43" s="114">
        <v>3.7917206405203539E-2</v>
      </c>
      <c r="M43" s="113">
        <v>7224</v>
      </c>
      <c r="N43" s="114">
        <v>4.9775376898271918E-2</v>
      </c>
      <c r="O43" s="113">
        <v>2459</v>
      </c>
      <c r="P43" s="114">
        <v>1.6943196538323733E-2</v>
      </c>
      <c r="Q43" s="113">
        <v>1154</v>
      </c>
      <c r="R43" s="114">
        <v>7.9513821900063387E-3</v>
      </c>
      <c r="S43" s="113">
        <v>296</v>
      </c>
      <c r="T43" s="114">
        <v>2.0395226414574317E-3</v>
      </c>
      <c r="U43" s="116"/>
      <c r="V43" s="117"/>
      <c r="W43" s="113">
        <v>1863</v>
      </c>
      <c r="X43" s="114">
        <v>1.2836590138632418E-2</v>
      </c>
      <c r="Y43" s="113">
        <v>976</v>
      </c>
      <c r="Z43" s="114">
        <v>6.7249124934542345E-3</v>
      </c>
      <c r="AA43" s="118"/>
      <c r="AB43" s="117"/>
      <c r="AC43" s="113">
        <v>126</v>
      </c>
      <c r="AD43" s="114">
        <v>8.6817517845823116E-4</v>
      </c>
      <c r="AE43" s="119">
        <v>138224</v>
      </c>
      <c r="AF43" s="114">
        <v>0.95240195132706773</v>
      </c>
      <c r="AG43" s="113">
        <v>6908</v>
      </c>
      <c r="AH43" s="114">
        <v>4.7598048672932228E-2</v>
      </c>
      <c r="AI43" s="119">
        <v>145132</v>
      </c>
      <c r="AJ43" s="120">
        <v>0.40607836059977787</v>
      </c>
      <c r="AL43" s="121">
        <v>0</v>
      </c>
      <c r="AM43" s="120">
        <v>0</v>
      </c>
      <c r="AO43" s="121">
        <v>0</v>
      </c>
      <c r="AP43" s="120">
        <v>0</v>
      </c>
      <c r="AR43" s="122"/>
      <c r="AS43" s="117"/>
      <c r="AT43" s="123">
        <v>81142</v>
      </c>
      <c r="AU43" s="114">
        <v>0.55909103436871266</v>
      </c>
      <c r="AV43" s="119">
        <v>38210</v>
      </c>
      <c r="AW43" s="114">
        <v>0.26327756800705565</v>
      </c>
      <c r="AX43" s="116"/>
      <c r="AY43" s="117"/>
      <c r="AZ43" s="124" t="s">
        <v>203</v>
      </c>
      <c r="BA43" s="119">
        <v>81142</v>
      </c>
      <c r="BB43" s="125">
        <v>0.55909103436871266</v>
      </c>
      <c r="BC43" s="126">
        <v>3</v>
      </c>
      <c r="BD43" s="126"/>
      <c r="BE43" s="126"/>
      <c r="BF43" s="126"/>
      <c r="BG43" s="126"/>
      <c r="BH43" s="126">
        <v>4</v>
      </c>
      <c r="BI43" s="126"/>
      <c r="BJ43" s="126"/>
      <c r="BK43" s="126"/>
      <c r="BL43" s="126"/>
      <c r="BM43" s="126">
        <v>1</v>
      </c>
      <c r="BN43" s="126">
        <v>2</v>
      </c>
      <c r="BO43" s="126"/>
      <c r="BP43" s="124" t="s">
        <v>30</v>
      </c>
      <c r="BQ43" s="119">
        <v>38210</v>
      </c>
      <c r="BR43" s="128">
        <v>0.26327756800705565</v>
      </c>
      <c r="BS43" s="119">
        <v>42932</v>
      </c>
      <c r="BT43" s="127">
        <v>0.29581346636165701</v>
      </c>
    </row>
    <row r="44" spans="1:72" ht="17.100000000000001" customHeight="1">
      <c r="A44" s="111" t="s">
        <v>259</v>
      </c>
      <c r="B44" s="112">
        <v>18433</v>
      </c>
      <c r="C44" s="113">
        <v>678</v>
      </c>
      <c r="D44" s="114">
        <v>4.8366386075046369E-2</v>
      </c>
      <c r="E44" s="115">
        <v>4609</v>
      </c>
      <c r="F44" s="114">
        <v>0.32879155371665003</v>
      </c>
      <c r="G44" s="113">
        <v>3947</v>
      </c>
      <c r="H44" s="114">
        <v>0.28156655728349267</v>
      </c>
      <c r="I44" s="113">
        <v>3837</v>
      </c>
      <c r="J44" s="114">
        <v>0.27371950349550578</v>
      </c>
      <c r="K44" s="113">
        <v>31</v>
      </c>
      <c r="L44" s="114">
        <v>2.2114424311599373E-3</v>
      </c>
      <c r="M44" s="113">
        <v>20</v>
      </c>
      <c r="N44" s="114">
        <v>1.4267370523612499E-3</v>
      </c>
      <c r="O44" s="113">
        <v>65</v>
      </c>
      <c r="P44" s="114">
        <v>4.6368954201740616E-3</v>
      </c>
      <c r="Q44" s="113">
        <v>13</v>
      </c>
      <c r="R44" s="114">
        <v>9.2737908403481241E-4</v>
      </c>
      <c r="S44" s="113">
        <v>5</v>
      </c>
      <c r="T44" s="114">
        <v>3.5668426309031246E-4</v>
      </c>
      <c r="U44" s="116"/>
      <c r="V44" s="117"/>
      <c r="W44" s="113">
        <v>136</v>
      </c>
      <c r="X44" s="114">
        <v>9.701811956056499E-3</v>
      </c>
      <c r="Y44" s="118"/>
      <c r="Z44" s="117"/>
      <c r="AA44" s="118"/>
      <c r="AB44" s="117"/>
      <c r="AC44" s="113">
        <v>0</v>
      </c>
      <c r="AD44" s="114">
        <v>0</v>
      </c>
      <c r="AE44" s="119">
        <v>13341</v>
      </c>
      <c r="AF44" s="114">
        <v>0.95170495077757167</v>
      </c>
      <c r="AG44" s="133">
        <v>677</v>
      </c>
      <c r="AH44" s="114">
        <v>4.8295049222428305E-2</v>
      </c>
      <c r="AI44" s="119">
        <v>14018</v>
      </c>
      <c r="AJ44" s="120">
        <v>0.76048391471816845</v>
      </c>
      <c r="AL44" s="121">
        <v>0</v>
      </c>
      <c r="AM44" s="120">
        <v>0</v>
      </c>
      <c r="AO44" s="121">
        <v>0</v>
      </c>
      <c r="AP44" s="120">
        <v>0</v>
      </c>
      <c r="AR44" s="122"/>
      <c r="AS44" s="117"/>
      <c r="AT44" s="123">
        <v>4859</v>
      </c>
      <c r="AU44" s="114">
        <v>0.34662576687116564</v>
      </c>
      <c r="AV44" s="116"/>
      <c r="AW44" s="117"/>
      <c r="AX44" s="116"/>
      <c r="AY44" s="117"/>
      <c r="AZ44" s="124" t="s">
        <v>203</v>
      </c>
      <c r="BA44" s="119">
        <v>4859</v>
      </c>
      <c r="BB44" s="125">
        <v>0.34662576687116564</v>
      </c>
      <c r="BC44" s="126">
        <v>4</v>
      </c>
      <c r="BD44" s="126"/>
      <c r="BE44" s="126">
        <v>2</v>
      </c>
      <c r="BF44" s="126">
        <v>3</v>
      </c>
      <c r="BG44" s="126"/>
      <c r="BH44" s="126">
        <v>5</v>
      </c>
      <c r="BI44" s="126"/>
      <c r="BJ44" s="126"/>
      <c r="BK44" s="126"/>
      <c r="BL44" s="126"/>
      <c r="BM44" s="126">
        <v>1</v>
      </c>
      <c r="BN44" s="126"/>
      <c r="BO44" s="126"/>
      <c r="BP44" s="124" t="s">
        <v>10</v>
      </c>
      <c r="BQ44" s="119">
        <v>3947</v>
      </c>
      <c r="BR44" s="114">
        <v>0.28156655728349267</v>
      </c>
      <c r="BS44" s="119">
        <v>912</v>
      </c>
      <c r="BT44" s="127">
        <v>6.5059209587672973E-2</v>
      </c>
    </row>
    <row r="45" spans="1:72" ht="17.100000000000001" customHeight="1">
      <c r="A45" s="111" t="s">
        <v>260</v>
      </c>
      <c r="B45" s="112">
        <v>1195465</v>
      </c>
      <c r="C45" s="113">
        <v>59204</v>
      </c>
      <c r="D45" s="114">
        <v>0.1090413481904411</v>
      </c>
      <c r="E45" s="115">
        <v>240883</v>
      </c>
      <c r="F45" s="114">
        <v>0.44365595358688648</v>
      </c>
      <c r="G45" s="113">
        <v>122838</v>
      </c>
      <c r="H45" s="114">
        <v>0.22624182705589832</v>
      </c>
      <c r="I45" s="113">
        <v>14031</v>
      </c>
      <c r="J45" s="114">
        <v>2.5842158578137951E-2</v>
      </c>
      <c r="K45" s="113">
        <v>22423</v>
      </c>
      <c r="L45" s="114">
        <v>4.1298462105166224E-2</v>
      </c>
      <c r="M45" s="113">
        <v>14562</v>
      </c>
      <c r="N45" s="114">
        <v>2.6820149185007826E-2</v>
      </c>
      <c r="O45" s="113">
        <v>9828</v>
      </c>
      <c r="P45" s="114">
        <v>1.8101114283083156E-2</v>
      </c>
      <c r="Q45" s="113">
        <v>3795</v>
      </c>
      <c r="R45" s="114">
        <v>6.9895938852564694E-3</v>
      </c>
      <c r="S45" s="113">
        <v>1608</v>
      </c>
      <c r="T45" s="114">
        <v>2.9615986739110417E-3</v>
      </c>
      <c r="U45" s="116"/>
      <c r="V45" s="117"/>
      <c r="W45" s="113">
        <v>4338</v>
      </c>
      <c r="X45" s="114">
        <v>7.9896859747674732E-3</v>
      </c>
      <c r="Y45" s="113">
        <v>2869</v>
      </c>
      <c r="Z45" s="114">
        <v>5.2840961414494887E-3</v>
      </c>
      <c r="AA45" s="118"/>
      <c r="AB45" s="117"/>
      <c r="AC45" s="113">
        <v>837</v>
      </c>
      <c r="AD45" s="114">
        <v>1.5415784142186206E-3</v>
      </c>
      <c r="AE45" s="119">
        <v>497216</v>
      </c>
      <c r="AF45" s="139">
        <v>0.91576756607422416</v>
      </c>
      <c r="AG45" s="113">
        <v>30180</v>
      </c>
      <c r="AH45" s="138">
        <v>5.5585228842434845E-2</v>
      </c>
      <c r="AI45" s="119">
        <v>542950</v>
      </c>
      <c r="AJ45" s="120">
        <v>0.45417473535402542</v>
      </c>
      <c r="AL45" s="121">
        <v>15554</v>
      </c>
      <c r="AM45" s="120">
        <v>2.8647205083341006E-2</v>
      </c>
      <c r="AO45" s="121">
        <v>0</v>
      </c>
      <c r="AP45" s="120">
        <v>0</v>
      </c>
      <c r="AR45" s="122"/>
      <c r="AS45" s="117"/>
      <c r="AT45" s="123">
        <v>282875</v>
      </c>
      <c r="AU45" s="114">
        <v>0.52099640850907081</v>
      </c>
      <c r="AV45" s="119">
        <v>139738</v>
      </c>
      <c r="AW45" s="114">
        <v>0.25736808177548576</v>
      </c>
      <c r="AX45" s="116"/>
      <c r="AY45" s="117"/>
      <c r="AZ45" s="124" t="s">
        <v>203</v>
      </c>
      <c r="BA45" s="119">
        <v>282875</v>
      </c>
      <c r="BB45" s="125">
        <v>0.52099640850907081</v>
      </c>
      <c r="BC45" s="126">
        <v>3</v>
      </c>
      <c r="BD45" s="126"/>
      <c r="BE45" s="126"/>
      <c r="BF45" s="126"/>
      <c r="BG45" s="126"/>
      <c r="BH45" s="126">
        <v>4</v>
      </c>
      <c r="BI45" s="126"/>
      <c r="BJ45" s="126"/>
      <c r="BK45" s="126"/>
      <c r="BL45" s="126"/>
      <c r="BM45" s="126">
        <v>1</v>
      </c>
      <c r="BN45" s="126">
        <v>2</v>
      </c>
      <c r="BO45" s="126"/>
      <c r="BP45" s="124" t="s">
        <v>30</v>
      </c>
      <c r="BQ45" s="119">
        <v>139738</v>
      </c>
      <c r="BR45" s="128">
        <v>0.25736808177548576</v>
      </c>
      <c r="BS45" s="119">
        <v>143137</v>
      </c>
      <c r="BT45" s="127">
        <v>0.26362832673358505</v>
      </c>
    </row>
    <row r="46" spans="1:72" ht="17.100000000000001" customHeight="1">
      <c r="A46" s="111" t="s">
        <v>261</v>
      </c>
      <c r="B46" s="112">
        <v>5390</v>
      </c>
      <c r="C46" s="113">
        <v>714</v>
      </c>
      <c r="D46" s="114">
        <v>0.18686207799005497</v>
      </c>
      <c r="E46" s="115">
        <v>1182</v>
      </c>
      <c r="F46" s="114">
        <v>0.30934310389950276</v>
      </c>
      <c r="G46" s="113">
        <v>770</v>
      </c>
      <c r="H46" s="114">
        <v>0.20151792724417691</v>
      </c>
      <c r="I46" s="113">
        <v>195</v>
      </c>
      <c r="J46" s="114">
        <v>5.1033760795603247E-2</v>
      </c>
      <c r="K46" s="113">
        <v>11</v>
      </c>
      <c r="L46" s="114">
        <v>2.8788275320596702E-3</v>
      </c>
      <c r="M46" s="113">
        <v>748</v>
      </c>
      <c r="N46" s="114">
        <v>0.19576027218005757</v>
      </c>
      <c r="O46" s="113">
        <v>3</v>
      </c>
      <c r="P46" s="114">
        <v>7.851347814708192E-4</v>
      </c>
      <c r="Q46" s="113">
        <v>11</v>
      </c>
      <c r="R46" s="114">
        <v>2.8788275320596702E-3</v>
      </c>
      <c r="S46" s="113">
        <v>1</v>
      </c>
      <c r="T46" s="114">
        <v>2.6171159382360636E-4</v>
      </c>
      <c r="U46" s="116"/>
      <c r="V46" s="117"/>
      <c r="W46" s="113">
        <v>13</v>
      </c>
      <c r="X46" s="114">
        <v>3.402250719706883E-3</v>
      </c>
      <c r="Y46" s="118"/>
      <c r="Z46" s="117"/>
      <c r="AA46" s="118"/>
      <c r="AB46" s="117"/>
      <c r="AC46" s="113">
        <v>2</v>
      </c>
      <c r="AD46" s="114">
        <v>5.2342318764721273E-4</v>
      </c>
      <c r="AE46" s="119">
        <v>3650</v>
      </c>
      <c r="AF46" s="114">
        <v>0.95524731745616331</v>
      </c>
      <c r="AG46" s="141">
        <v>171</v>
      </c>
      <c r="AH46" s="114">
        <v>4.4752682543836693E-2</v>
      </c>
      <c r="AI46" s="119">
        <v>3821</v>
      </c>
      <c r="AJ46" s="120">
        <v>0.70890538033395178</v>
      </c>
      <c r="AL46" s="121">
        <v>0</v>
      </c>
      <c r="AM46" s="120">
        <v>0</v>
      </c>
      <c r="AO46" s="121">
        <v>0</v>
      </c>
      <c r="AP46" s="120">
        <v>0</v>
      </c>
      <c r="AR46" s="122"/>
      <c r="AS46" s="117"/>
      <c r="AT46" s="123">
        <v>1221</v>
      </c>
      <c r="AU46" s="114">
        <v>0.3195498560586234</v>
      </c>
      <c r="AV46" s="116"/>
      <c r="AW46" s="117"/>
      <c r="AX46" s="116"/>
      <c r="AY46" s="117"/>
      <c r="AZ46" s="124" t="s">
        <v>203</v>
      </c>
      <c r="BA46" s="119">
        <v>1221</v>
      </c>
      <c r="BB46" s="125">
        <v>0.3195498560586234</v>
      </c>
      <c r="BC46" s="126">
        <v>4</v>
      </c>
      <c r="BD46" s="126"/>
      <c r="BE46" s="126">
        <v>2</v>
      </c>
      <c r="BF46" s="126">
        <v>5</v>
      </c>
      <c r="BG46" s="126"/>
      <c r="BH46" s="126">
        <v>3</v>
      </c>
      <c r="BI46" s="126"/>
      <c r="BJ46" s="126"/>
      <c r="BK46" s="126"/>
      <c r="BL46" s="126"/>
      <c r="BM46" s="126">
        <v>1</v>
      </c>
      <c r="BN46" s="126"/>
      <c r="BO46" s="126"/>
      <c r="BP46" s="124" t="s">
        <v>10</v>
      </c>
      <c r="BQ46" s="119">
        <v>770</v>
      </c>
      <c r="BR46" s="114">
        <v>0.20151792724417691</v>
      </c>
      <c r="BS46" s="119">
        <v>451</v>
      </c>
      <c r="BT46" s="127">
        <v>0.11803192881444649</v>
      </c>
    </row>
    <row r="47" spans="1:72" ht="17.100000000000001" customHeight="1">
      <c r="A47" s="111" t="s">
        <v>262</v>
      </c>
      <c r="B47" s="112">
        <v>53594</v>
      </c>
      <c r="C47" s="113">
        <v>10507</v>
      </c>
      <c r="D47" s="114">
        <v>0.3973151824541501</v>
      </c>
      <c r="E47" s="115">
        <v>10205</v>
      </c>
      <c r="F47" s="114">
        <v>0.38589525430138022</v>
      </c>
      <c r="G47" s="113">
        <v>867</v>
      </c>
      <c r="H47" s="114">
        <v>3.2785025524673848E-2</v>
      </c>
      <c r="I47" s="113">
        <v>303</v>
      </c>
      <c r="J47" s="114">
        <v>1.1457742484401588E-2</v>
      </c>
      <c r="K47" s="113">
        <v>321</v>
      </c>
      <c r="L47" s="114">
        <v>1.2138400453771979E-2</v>
      </c>
      <c r="M47" s="113">
        <v>3103</v>
      </c>
      <c r="N47" s="114">
        <v>0.11733787105312914</v>
      </c>
      <c r="O47" s="113">
        <v>173</v>
      </c>
      <c r="P47" s="114">
        <v>6.5418793722820945E-3</v>
      </c>
      <c r="Q47" s="113">
        <v>68</v>
      </c>
      <c r="R47" s="114">
        <v>2.5713745509548117E-3</v>
      </c>
      <c r="S47" s="113">
        <v>50</v>
      </c>
      <c r="T47" s="114">
        <v>1.8907165815844206E-3</v>
      </c>
      <c r="U47" s="116"/>
      <c r="V47" s="117"/>
      <c r="W47" s="113">
        <v>158</v>
      </c>
      <c r="X47" s="114">
        <v>5.9746643978067686E-3</v>
      </c>
      <c r="Y47" s="118"/>
      <c r="Z47" s="117"/>
      <c r="AA47" s="118"/>
      <c r="AB47" s="117"/>
      <c r="AC47" s="113">
        <v>26</v>
      </c>
      <c r="AD47" s="114">
        <v>9.831726224238987E-4</v>
      </c>
      <c r="AE47" s="119">
        <v>25781</v>
      </c>
      <c r="AF47" s="114">
        <v>0.97489128379655887</v>
      </c>
      <c r="AG47" s="113">
        <v>664</v>
      </c>
      <c r="AH47" s="114">
        <v>2.5108716203441104E-2</v>
      </c>
      <c r="AI47" s="119">
        <v>26445</v>
      </c>
      <c r="AJ47" s="120">
        <v>0.49343210060827702</v>
      </c>
      <c r="AL47" s="121">
        <v>0</v>
      </c>
      <c r="AM47" s="120">
        <v>0</v>
      </c>
      <c r="AO47" s="121">
        <v>0</v>
      </c>
      <c r="AP47" s="120">
        <v>0</v>
      </c>
      <c r="AR47" s="122"/>
      <c r="AS47" s="117"/>
      <c r="AT47" s="123">
        <v>10975</v>
      </c>
      <c r="AU47" s="114">
        <v>0.41501228965778031</v>
      </c>
      <c r="AV47" s="116"/>
      <c r="AW47" s="117"/>
      <c r="AX47" s="116"/>
      <c r="AY47" s="117"/>
      <c r="AZ47" s="124" t="s">
        <v>203</v>
      </c>
      <c r="BA47" s="119">
        <v>10975</v>
      </c>
      <c r="BB47" s="125">
        <v>0.41501228965778031</v>
      </c>
      <c r="BC47" s="126">
        <v>2</v>
      </c>
      <c r="BD47" s="126"/>
      <c r="BE47" s="126">
        <v>4</v>
      </c>
      <c r="BF47" s="126">
        <v>5</v>
      </c>
      <c r="BG47" s="126"/>
      <c r="BH47" s="126">
        <v>3</v>
      </c>
      <c r="BI47" s="126"/>
      <c r="BJ47" s="126"/>
      <c r="BK47" s="126"/>
      <c r="BL47" s="126"/>
      <c r="BM47" s="126">
        <v>1</v>
      </c>
      <c r="BN47" s="126"/>
      <c r="BO47" s="126"/>
      <c r="BP47" s="124" t="s">
        <v>7</v>
      </c>
      <c r="BQ47" s="119">
        <v>10507</v>
      </c>
      <c r="BR47" s="114">
        <v>0.3973151824541501</v>
      </c>
      <c r="BS47" s="119">
        <v>468</v>
      </c>
      <c r="BT47" s="127">
        <v>1.7697107203630214E-2</v>
      </c>
    </row>
    <row r="48" spans="1:72" ht="17.100000000000001" customHeight="1">
      <c r="A48" s="111" t="s">
        <v>263</v>
      </c>
      <c r="B48" s="112">
        <v>25152</v>
      </c>
      <c r="C48" s="113">
        <v>5112</v>
      </c>
      <c r="D48" s="114">
        <v>0.29733030884662365</v>
      </c>
      <c r="E48" s="115">
        <v>5058</v>
      </c>
      <c r="F48" s="114">
        <v>0.29418949572500436</v>
      </c>
      <c r="G48" s="113">
        <v>5001</v>
      </c>
      <c r="H48" s="114">
        <v>0.29087419298551737</v>
      </c>
      <c r="I48" s="113">
        <v>66</v>
      </c>
      <c r="J48" s="114">
        <v>3.838771593090211E-3</v>
      </c>
      <c r="K48" s="113">
        <v>96</v>
      </c>
      <c r="L48" s="114">
        <v>5.58366777176758E-3</v>
      </c>
      <c r="M48" s="113">
        <v>1199</v>
      </c>
      <c r="N48" s="114">
        <v>6.9737683941138842E-2</v>
      </c>
      <c r="O48" s="113">
        <v>86</v>
      </c>
      <c r="P48" s="114">
        <v>5.0020357122084573E-3</v>
      </c>
      <c r="Q48" s="113">
        <v>26</v>
      </c>
      <c r="R48" s="114">
        <v>1.5122433548537195E-3</v>
      </c>
      <c r="S48" s="113">
        <v>14</v>
      </c>
      <c r="T48" s="114">
        <v>8.1428488338277207E-4</v>
      </c>
      <c r="U48" s="116"/>
      <c r="V48" s="117"/>
      <c r="W48" s="113">
        <v>89</v>
      </c>
      <c r="X48" s="114">
        <v>5.1765253300761942E-3</v>
      </c>
      <c r="Y48" s="113">
        <v>65</v>
      </c>
      <c r="Z48" s="114">
        <v>3.780608387134299E-3</v>
      </c>
      <c r="AA48" s="118"/>
      <c r="AB48" s="117"/>
      <c r="AC48" s="113">
        <v>16</v>
      </c>
      <c r="AD48" s="114">
        <v>9.3061129529459663E-4</v>
      </c>
      <c r="AE48" s="119">
        <v>16828</v>
      </c>
      <c r="AF48" s="114">
        <v>0.97877042982609197</v>
      </c>
      <c r="AG48" s="113">
        <v>365</v>
      </c>
      <c r="AH48" s="114">
        <v>2.1229570173907985E-2</v>
      </c>
      <c r="AI48" s="119">
        <v>17193</v>
      </c>
      <c r="AJ48" s="120">
        <v>0.68356393129770987</v>
      </c>
      <c r="AL48" s="121">
        <v>0</v>
      </c>
      <c r="AM48" s="120">
        <v>0</v>
      </c>
      <c r="AO48" s="121">
        <v>0</v>
      </c>
      <c r="AP48" s="120">
        <v>0</v>
      </c>
      <c r="AR48" s="122"/>
      <c r="AS48" s="117"/>
      <c r="AT48" s="123">
        <v>5369</v>
      </c>
      <c r="AU48" s="114">
        <v>0.3122782527772931</v>
      </c>
      <c r="AV48" s="119">
        <v>5132</v>
      </c>
      <c r="AW48" s="114">
        <v>0.29849357296574186</v>
      </c>
      <c r="AX48" s="116"/>
      <c r="AY48" s="117"/>
      <c r="AZ48" s="124" t="s">
        <v>203</v>
      </c>
      <c r="BA48" s="119">
        <v>5369</v>
      </c>
      <c r="BB48" s="125">
        <v>0.3122782527772931</v>
      </c>
      <c r="BC48" s="126">
        <v>3</v>
      </c>
      <c r="BD48" s="126"/>
      <c r="BE48" s="126"/>
      <c r="BF48" s="126"/>
      <c r="BG48" s="126"/>
      <c r="BH48" s="126">
        <v>4</v>
      </c>
      <c r="BI48" s="126"/>
      <c r="BJ48" s="126"/>
      <c r="BK48" s="126"/>
      <c r="BL48" s="126"/>
      <c r="BM48" s="126">
        <v>1</v>
      </c>
      <c r="BN48" s="126">
        <v>2</v>
      </c>
      <c r="BO48" s="126"/>
      <c r="BP48" s="124" t="s">
        <v>30</v>
      </c>
      <c r="BQ48" s="119">
        <v>5132</v>
      </c>
      <c r="BR48" s="128">
        <v>0.29849357296574186</v>
      </c>
      <c r="BS48" s="119">
        <v>237</v>
      </c>
      <c r="BT48" s="127">
        <v>1.3784679811551237E-2</v>
      </c>
    </row>
    <row r="49" spans="1:72" ht="17.100000000000001" customHeight="1">
      <c r="A49" s="111" t="s">
        <v>264</v>
      </c>
      <c r="B49" s="112">
        <v>149324</v>
      </c>
      <c r="C49" s="113">
        <v>28979</v>
      </c>
      <c r="D49" s="114">
        <v>0.34350366866991455</v>
      </c>
      <c r="E49" s="115">
        <v>37498</v>
      </c>
      <c r="F49" s="114">
        <v>0.44448395623673886</v>
      </c>
      <c r="G49" s="113">
        <v>4758</v>
      </c>
      <c r="H49" s="114">
        <v>5.6399132321041212E-2</v>
      </c>
      <c r="I49" s="113">
        <v>4370</v>
      </c>
      <c r="J49" s="114">
        <v>5.179995969797186E-2</v>
      </c>
      <c r="K49" s="113">
        <v>1654</v>
      </c>
      <c r="L49" s="114">
        <v>1.9605751336486375E-2</v>
      </c>
      <c r="M49" s="113">
        <v>781</v>
      </c>
      <c r="N49" s="114">
        <v>9.2576129345803247E-3</v>
      </c>
      <c r="O49" s="113">
        <v>513</v>
      </c>
      <c r="P49" s="114">
        <v>6.0808648341097397E-3</v>
      </c>
      <c r="Q49" s="113">
        <v>348</v>
      </c>
      <c r="R49" s="114">
        <v>4.1250311155364315E-3</v>
      </c>
      <c r="S49" s="113">
        <v>118</v>
      </c>
      <c r="T49" s="114">
        <v>1.3987174472221235E-3</v>
      </c>
      <c r="U49" s="116"/>
      <c r="V49" s="117"/>
      <c r="W49" s="113">
        <v>404</v>
      </c>
      <c r="X49" s="114">
        <v>4.7888292260825248E-3</v>
      </c>
      <c r="Y49" s="118"/>
      <c r="Z49" s="117"/>
      <c r="AA49" s="118"/>
      <c r="AB49" s="117"/>
      <c r="AC49" s="113">
        <v>165</v>
      </c>
      <c r="AD49" s="114">
        <v>1.9558337185733082E-3</v>
      </c>
      <c r="AE49" s="119">
        <v>79588</v>
      </c>
      <c r="AF49" s="114">
        <v>0.94339935753825732</v>
      </c>
      <c r="AG49" s="113">
        <v>4775</v>
      </c>
      <c r="AH49" s="114">
        <v>5.6600642461742706E-2</v>
      </c>
      <c r="AI49" s="119">
        <v>84363</v>
      </c>
      <c r="AJ49" s="120">
        <v>0.56496611395355067</v>
      </c>
      <c r="AL49" s="121">
        <v>0</v>
      </c>
      <c r="AM49" s="120">
        <v>0</v>
      </c>
      <c r="AO49" s="121">
        <v>0</v>
      </c>
      <c r="AP49" s="120">
        <v>0</v>
      </c>
      <c r="AR49" s="122"/>
      <c r="AS49" s="117"/>
      <c r="AT49" s="123">
        <v>40535</v>
      </c>
      <c r="AU49" s="114">
        <v>0.48048315019617605</v>
      </c>
      <c r="AV49" s="116"/>
      <c r="AW49" s="117"/>
      <c r="AX49" s="116"/>
      <c r="AY49" s="117"/>
      <c r="AZ49" s="124" t="s">
        <v>203</v>
      </c>
      <c r="BA49" s="119">
        <v>40535</v>
      </c>
      <c r="BB49" s="125">
        <v>0.48048315019617605</v>
      </c>
      <c r="BC49" s="126">
        <v>2</v>
      </c>
      <c r="BD49" s="126"/>
      <c r="BE49" s="126">
        <v>3</v>
      </c>
      <c r="BF49" s="126">
        <v>4</v>
      </c>
      <c r="BG49" s="126"/>
      <c r="BH49" s="126">
        <v>5</v>
      </c>
      <c r="BI49" s="126"/>
      <c r="BJ49" s="126"/>
      <c r="BK49" s="126"/>
      <c r="BL49" s="126"/>
      <c r="BM49" s="126">
        <v>1</v>
      </c>
      <c r="BN49" s="126"/>
      <c r="BO49" s="126"/>
      <c r="BP49" s="124" t="s">
        <v>7</v>
      </c>
      <c r="BQ49" s="119">
        <v>28979</v>
      </c>
      <c r="BR49" s="114">
        <v>0.34350366866991455</v>
      </c>
      <c r="BS49" s="119">
        <v>11556</v>
      </c>
      <c r="BT49" s="127">
        <v>0.13697948152626149</v>
      </c>
    </row>
    <row r="50" spans="1:72" ht="17.100000000000001" customHeight="1">
      <c r="A50" s="111" t="s">
        <v>265</v>
      </c>
      <c r="B50" s="112">
        <v>6140</v>
      </c>
      <c r="C50" s="113">
        <v>222</v>
      </c>
      <c r="D50" s="114">
        <v>4.9322372806043104E-2</v>
      </c>
      <c r="E50" s="115">
        <v>1051</v>
      </c>
      <c r="F50" s="114">
        <v>0.23350366585203289</v>
      </c>
      <c r="G50" s="113">
        <v>791</v>
      </c>
      <c r="H50" s="114">
        <v>0.17573872472783825</v>
      </c>
      <c r="I50" s="113">
        <v>405</v>
      </c>
      <c r="J50" s="114">
        <v>8.998000444345701E-2</v>
      </c>
      <c r="K50" s="113">
        <v>8</v>
      </c>
      <c r="L50" s="114">
        <v>1.7773828038213731E-3</v>
      </c>
      <c r="M50" s="113">
        <v>1383</v>
      </c>
      <c r="N50" s="114">
        <v>0.30726505221061984</v>
      </c>
      <c r="O50" s="113">
        <v>13</v>
      </c>
      <c r="P50" s="114">
        <v>2.8882470562097314E-3</v>
      </c>
      <c r="Q50" s="113">
        <v>4</v>
      </c>
      <c r="R50" s="114">
        <v>8.8869140191068653E-4</v>
      </c>
      <c r="S50" s="113">
        <v>1</v>
      </c>
      <c r="T50" s="114">
        <v>2.2217285047767163E-4</v>
      </c>
      <c r="U50" s="116"/>
      <c r="V50" s="117"/>
      <c r="W50" s="113">
        <v>146</v>
      </c>
      <c r="X50" s="114">
        <v>3.2437236169740057E-2</v>
      </c>
      <c r="Y50" s="118"/>
      <c r="Z50" s="117"/>
      <c r="AA50" s="118"/>
      <c r="AB50" s="117"/>
      <c r="AC50" s="113">
        <v>0</v>
      </c>
      <c r="AD50" s="114">
        <v>0</v>
      </c>
      <c r="AE50" s="119">
        <v>4024</v>
      </c>
      <c r="AF50" s="114">
        <v>0.89402355032215064</v>
      </c>
      <c r="AG50" s="113">
        <v>82</v>
      </c>
      <c r="AH50" s="114">
        <v>1.8218173739169074E-2</v>
      </c>
      <c r="AI50" s="119">
        <v>4501</v>
      </c>
      <c r="AJ50" s="120">
        <v>0.73306188925081428</v>
      </c>
      <c r="AL50" s="121">
        <v>395</v>
      </c>
      <c r="AM50" s="120">
        <v>8.7758275938680297E-2</v>
      </c>
      <c r="AO50" s="121">
        <v>0</v>
      </c>
      <c r="AP50" s="120">
        <v>0</v>
      </c>
      <c r="AR50" s="122"/>
      <c r="AS50" s="117"/>
      <c r="AT50" s="123">
        <v>1223</v>
      </c>
      <c r="AU50" s="114">
        <v>0.27171739613419238</v>
      </c>
      <c r="AV50" s="116"/>
      <c r="AW50" s="117"/>
      <c r="AX50" s="116"/>
      <c r="AY50" s="117"/>
      <c r="AZ50" s="124" t="s">
        <v>199</v>
      </c>
      <c r="BA50" s="119">
        <v>1383</v>
      </c>
      <c r="BB50" s="125">
        <v>0.30726505221061984</v>
      </c>
      <c r="BC50" s="126">
        <v>5</v>
      </c>
      <c r="BD50" s="126"/>
      <c r="BE50" s="126">
        <v>3</v>
      </c>
      <c r="BF50" s="126">
        <v>4</v>
      </c>
      <c r="BG50" s="126"/>
      <c r="BH50" s="126">
        <v>1</v>
      </c>
      <c r="BI50" s="126"/>
      <c r="BJ50" s="126"/>
      <c r="BK50" s="126"/>
      <c r="BL50" s="126"/>
      <c r="BM50" s="126">
        <v>2</v>
      </c>
      <c r="BN50" s="126"/>
      <c r="BO50" s="126"/>
      <c r="BP50" s="124" t="s">
        <v>203</v>
      </c>
      <c r="BQ50" s="119">
        <v>1223</v>
      </c>
      <c r="BR50" s="114">
        <v>0.27171739613419238</v>
      </c>
      <c r="BS50" s="119">
        <v>160</v>
      </c>
      <c r="BT50" s="127">
        <v>3.5547656076427459E-2</v>
      </c>
    </row>
    <row r="51" spans="1:72" ht="17.100000000000001" customHeight="1">
      <c r="A51" s="111" t="s">
        <v>266</v>
      </c>
      <c r="B51" s="112">
        <v>254593</v>
      </c>
      <c r="C51" s="113">
        <v>16755</v>
      </c>
      <c r="D51" s="114">
        <v>0.13474281854151252</v>
      </c>
      <c r="E51" s="115">
        <v>59652</v>
      </c>
      <c r="F51" s="114">
        <v>0.47971821018432143</v>
      </c>
      <c r="G51" s="113">
        <v>23950</v>
      </c>
      <c r="H51" s="114">
        <v>0.19260462572779619</v>
      </c>
      <c r="I51" s="113">
        <v>5339</v>
      </c>
      <c r="J51" s="114">
        <v>4.2935953935728764E-2</v>
      </c>
      <c r="K51" s="113">
        <v>4070</v>
      </c>
      <c r="L51" s="114">
        <v>3.2730723453533631E-2</v>
      </c>
      <c r="M51" s="113">
        <v>2975</v>
      </c>
      <c r="N51" s="114">
        <v>2.3924791713578024E-2</v>
      </c>
      <c r="O51" s="113">
        <v>1991</v>
      </c>
      <c r="P51" s="114">
        <v>1.6011516067809695E-2</v>
      </c>
      <c r="Q51" s="113">
        <v>779</v>
      </c>
      <c r="R51" s="114">
        <v>6.2646765528999258E-3</v>
      </c>
      <c r="S51" s="113">
        <v>417</v>
      </c>
      <c r="T51" s="114">
        <v>3.3534918132981633E-3</v>
      </c>
      <c r="U51" s="116"/>
      <c r="V51" s="117"/>
      <c r="W51" s="113">
        <v>1536</v>
      </c>
      <c r="X51" s="114">
        <v>1.2352430276321292E-2</v>
      </c>
      <c r="Y51" s="118"/>
      <c r="Z51" s="117"/>
      <c r="AA51" s="118"/>
      <c r="AB51" s="117"/>
      <c r="AC51" s="113">
        <v>185</v>
      </c>
      <c r="AD51" s="114">
        <v>1.4877601569788013E-3</v>
      </c>
      <c r="AE51" s="119">
        <v>117649</v>
      </c>
      <c r="AF51" s="114">
        <v>0.94612699842377845</v>
      </c>
      <c r="AG51" s="113">
        <v>6699</v>
      </c>
      <c r="AH51" s="114">
        <v>5.3873001576221574E-2</v>
      </c>
      <c r="AI51" s="119">
        <v>124348</v>
      </c>
      <c r="AJ51" s="120">
        <v>0.48841877035110942</v>
      </c>
      <c r="AL51" s="121">
        <v>0</v>
      </c>
      <c r="AM51" s="120">
        <v>0</v>
      </c>
      <c r="AO51" s="121">
        <v>0</v>
      </c>
      <c r="AP51" s="120">
        <v>0</v>
      </c>
      <c r="AR51" s="122"/>
      <c r="AS51" s="117"/>
      <c r="AT51" s="123">
        <v>68445</v>
      </c>
      <c r="AU51" s="114">
        <v>0.55043104834818413</v>
      </c>
      <c r="AV51" s="116"/>
      <c r="AW51" s="117"/>
      <c r="AX51" s="116"/>
      <c r="AY51" s="117"/>
      <c r="AZ51" s="124" t="s">
        <v>203</v>
      </c>
      <c r="BA51" s="119">
        <v>68445</v>
      </c>
      <c r="BB51" s="125">
        <v>0.55043104834818413</v>
      </c>
      <c r="BC51" s="126">
        <v>3</v>
      </c>
      <c r="BD51" s="126"/>
      <c r="BE51" s="126">
        <v>2</v>
      </c>
      <c r="BF51" s="126">
        <v>4</v>
      </c>
      <c r="BG51" s="126"/>
      <c r="BH51" s="126">
        <v>5</v>
      </c>
      <c r="BI51" s="126"/>
      <c r="BJ51" s="126"/>
      <c r="BK51" s="126"/>
      <c r="BL51" s="126"/>
      <c r="BM51" s="126">
        <v>1</v>
      </c>
      <c r="BN51" s="126"/>
      <c r="BO51" s="126"/>
      <c r="BP51" s="124" t="s">
        <v>10</v>
      </c>
      <c r="BQ51" s="119">
        <v>23950</v>
      </c>
      <c r="BR51" s="114">
        <v>0.19260462572779619</v>
      </c>
      <c r="BS51" s="119">
        <v>44495</v>
      </c>
      <c r="BT51" s="127">
        <v>0.35782642262038794</v>
      </c>
    </row>
    <row r="52" spans="1:72" ht="17.100000000000001" customHeight="1">
      <c r="A52" s="111" t="s">
        <v>267</v>
      </c>
      <c r="B52" s="112">
        <v>22095</v>
      </c>
      <c r="C52" s="113">
        <v>1691</v>
      </c>
      <c r="D52" s="114">
        <v>0.12326869806094183</v>
      </c>
      <c r="E52" s="115">
        <v>6206</v>
      </c>
      <c r="F52" s="114">
        <v>0.452398308791369</v>
      </c>
      <c r="G52" s="113">
        <v>4386</v>
      </c>
      <c r="H52" s="114">
        <v>0.31972590756670066</v>
      </c>
      <c r="I52" s="113">
        <v>397</v>
      </c>
      <c r="J52" s="114">
        <v>2.894007872867765E-2</v>
      </c>
      <c r="K52" s="113">
        <v>78</v>
      </c>
      <c r="L52" s="114">
        <v>5.6859600524857851E-3</v>
      </c>
      <c r="M52" s="113">
        <v>36</v>
      </c>
      <c r="N52" s="114">
        <v>2.6242892549934393E-3</v>
      </c>
      <c r="O52" s="113">
        <v>81</v>
      </c>
      <c r="P52" s="114">
        <v>5.904650823735238E-3</v>
      </c>
      <c r="Q52" s="113">
        <v>31</v>
      </c>
      <c r="R52" s="114">
        <v>2.2598046362443504E-3</v>
      </c>
      <c r="S52" s="113">
        <v>22</v>
      </c>
      <c r="T52" s="114">
        <v>1.6037323224959907E-3</v>
      </c>
      <c r="U52" s="116"/>
      <c r="V52" s="117"/>
      <c r="W52" s="113">
        <v>105</v>
      </c>
      <c r="X52" s="114">
        <v>7.6541769937308645E-3</v>
      </c>
      <c r="Y52" s="118"/>
      <c r="Z52" s="117"/>
      <c r="AA52" s="113">
        <v>14</v>
      </c>
      <c r="AB52" s="114">
        <v>1.0205569324974486E-3</v>
      </c>
      <c r="AC52" s="113">
        <v>28</v>
      </c>
      <c r="AD52" s="114">
        <v>2.0411138649948971E-3</v>
      </c>
      <c r="AE52" s="119">
        <v>13075</v>
      </c>
      <c r="AF52" s="114">
        <v>0.95312727802886721</v>
      </c>
      <c r="AG52" s="113">
        <v>643</v>
      </c>
      <c r="AH52" s="114">
        <v>4.6872721971132819E-2</v>
      </c>
      <c r="AI52" s="119">
        <v>13718</v>
      </c>
      <c r="AJ52" s="120">
        <v>0.62086444897035531</v>
      </c>
      <c r="AL52" s="121">
        <v>0</v>
      </c>
      <c r="AM52" s="120">
        <v>0</v>
      </c>
      <c r="AO52" s="121">
        <v>0</v>
      </c>
      <c r="AP52" s="120">
        <v>0</v>
      </c>
      <c r="AR52" s="122"/>
      <c r="AS52" s="117"/>
      <c r="AT52" s="123">
        <v>6523</v>
      </c>
      <c r="AU52" s="114">
        <v>0.47550663362006124</v>
      </c>
      <c r="AV52" s="116"/>
      <c r="AW52" s="117"/>
      <c r="AX52" s="119">
        <v>447</v>
      </c>
      <c r="AY52" s="114">
        <v>3.2584924916168538E-2</v>
      </c>
      <c r="AZ52" s="124" t="s">
        <v>203</v>
      </c>
      <c r="BA52" s="119">
        <v>6523</v>
      </c>
      <c r="BB52" s="125">
        <v>0.47550663362006124</v>
      </c>
      <c r="BC52" s="126">
        <v>3</v>
      </c>
      <c r="BD52" s="126"/>
      <c r="BE52" s="126">
        <v>2</v>
      </c>
      <c r="BF52" s="126"/>
      <c r="BG52" s="126"/>
      <c r="BH52" s="126"/>
      <c r="BI52" s="126"/>
      <c r="BJ52" s="126"/>
      <c r="BK52" s="126"/>
      <c r="BL52" s="126"/>
      <c r="BM52" s="126">
        <v>1</v>
      </c>
      <c r="BN52" s="126"/>
      <c r="BO52" s="126">
        <v>4</v>
      </c>
      <c r="BP52" s="124" t="s">
        <v>10</v>
      </c>
      <c r="BQ52" s="119">
        <v>4386</v>
      </c>
      <c r="BR52" s="114">
        <v>0.31972590756670066</v>
      </c>
      <c r="BS52" s="119">
        <v>2137</v>
      </c>
      <c r="BT52" s="127">
        <v>0.15578072605336057</v>
      </c>
    </row>
    <row r="53" spans="1:72" ht="17.100000000000001" customHeight="1">
      <c r="A53" s="111" t="s">
        <v>268</v>
      </c>
      <c r="B53" s="112">
        <v>4218</v>
      </c>
      <c r="C53" s="113">
        <v>654</v>
      </c>
      <c r="D53" s="114">
        <v>0.19106047326906223</v>
      </c>
      <c r="E53" s="115">
        <v>1443</v>
      </c>
      <c r="F53" s="114">
        <v>0.4215600350569676</v>
      </c>
      <c r="G53" s="113">
        <v>1044</v>
      </c>
      <c r="H53" s="114">
        <v>0.30499561787905344</v>
      </c>
      <c r="I53" s="113">
        <v>103</v>
      </c>
      <c r="J53" s="114">
        <v>3.0090563832895122E-2</v>
      </c>
      <c r="K53" s="113">
        <v>9</v>
      </c>
      <c r="L53" s="114">
        <v>2.6292725679228747E-3</v>
      </c>
      <c r="M53" s="118"/>
      <c r="N53" s="118"/>
      <c r="O53" s="113">
        <v>21</v>
      </c>
      <c r="P53" s="114">
        <v>6.1349693251533744E-3</v>
      </c>
      <c r="Q53" s="113">
        <v>6</v>
      </c>
      <c r="R53" s="114">
        <v>1.7528483786152498E-3</v>
      </c>
      <c r="S53" s="113">
        <v>1</v>
      </c>
      <c r="T53" s="114">
        <v>2.9214139643587495E-4</v>
      </c>
      <c r="U53" s="116"/>
      <c r="V53" s="117"/>
      <c r="W53" s="113">
        <v>40</v>
      </c>
      <c r="X53" s="114">
        <v>1.1685655857434999E-2</v>
      </c>
      <c r="Y53" s="118"/>
      <c r="Z53" s="117"/>
      <c r="AA53" s="118"/>
      <c r="AB53" s="117"/>
      <c r="AC53" s="113">
        <v>0</v>
      </c>
      <c r="AD53" s="114">
        <v>0</v>
      </c>
      <c r="AE53" s="119">
        <v>3321</v>
      </c>
      <c r="AF53" s="114">
        <v>0.97020157756354075</v>
      </c>
      <c r="AG53" s="113">
        <v>102</v>
      </c>
      <c r="AH53" s="114">
        <v>2.9798422436459245E-2</v>
      </c>
      <c r="AI53" s="119">
        <v>3423</v>
      </c>
      <c r="AJ53" s="120">
        <v>0.81152204836415365</v>
      </c>
      <c r="AL53" s="121">
        <v>0</v>
      </c>
      <c r="AM53" s="120">
        <v>0</v>
      </c>
      <c r="AO53" s="121">
        <v>0</v>
      </c>
      <c r="AP53" s="120">
        <v>0</v>
      </c>
      <c r="AR53" s="122"/>
      <c r="AS53" s="117"/>
      <c r="AT53" s="123">
        <v>1520</v>
      </c>
      <c r="AU53" s="114">
        <v>0.44405492258252993</v>
      </c>
      <c r="AV53" s="116"/>
      <c r="AW53" s="117"/>
      <c r="AX53" s="116"/>
      <c r="AY53" s="117"/>
      <c r="AZ53" s="124" t="s">
        <v>203</v>
      </c>
      <c r="BA53" s="119">
        <v>1520</v>
      </c>
      <c r="BB53" s="125">
        <v>0.44405492258252993</v>
      </c>
      <c r="BC53" s="126">
        <v>3</v>
      </c>
      <c r="BD53" s="126"/>
      <c r="BE53" s="126">
        <v>2</v>
      </c>
      <c r="BF53" s="126">
        <v>4</v>
      </c>
      <c r="BG53" s="126"/>
      <c r="BH53" s="126"/>
      <c r="BI53" s="126"/>
      <c r="BJ53" s="126"/>
      <c r="BK53" s="126"/>
      <c r="BL53" s="126"/>
      <c r="BM53" s="126">
        <v>1</v>
      </c>
      <c r="BN53" s="126"/>
      <c r="BO53" s="126"/>
      <c r="BP53" s="124" t="s">
        <v>10</v>
      </c>
      <c r="BQ53" s="119">
        <v>1044</v>
      </c>
      <c r="BR53" s="114">
        <v>0.30499561787905344</v>
      </c>
      <c r="BS53" s="119">
        <v>476</v>
      </c>
      <c r="BT53" s="127">
        <v>0.13905930470347649</v>
      </c>
    </row>
    <row r="54" spans="1:72" ht="17.100000000000001" customHeight="1">
      <c r="A54" s="111" t="s">
        <v>269</v>
      </c>
      <c r="B54" s="112">
        <v>86892</v>
      </c>
      <c r="C54" s="113">
        <v>15028</v>
      </c>
      <c r="D54" s="114">
        <v>0.2994221956565053</v>
      </c>
      <c r="E54" s="115">
        <v>16362</v>
      </c>
      <c r="F54" s="114">
        <v>0.32600119545726242</v>
      </c>
      <c r="G54" s="113">
        <v>2558</v>
      </c>
      <c r="H54" s="114">
        <v>5.0966327953775654E-2</v>
      </c>
      <c r="I54" s="113">
        <v>747</v>
      </c>
      <c r="J54" s="114">
        <v>1.4883442916915721E-2</v>
      </c>
      <c r="K54" s="113">
        <v>652</v>
      </c>
      <c r="L54" s="114">
        <v>1.2990635584777845E-2</v>
      </c>
      <c r="M54" s="113">
        <v>11687</v>
      </c>
      <c r="N54" s="114">
        <v>0.23285515042837218</v>
      </c>
      <c r="O54" s="113">
        <v>316</v>
      </c>
      <c r="P54" s="114">
        <v>6.2960749153217772E-3</v>
      </c>
      <c r="Q54" s="113">
        <v>115</v>
      </c>
      <c r="R54" s="114">
        <v>2.2912930862721659E-3</v>
      </c>
      <c r="S54" s="113">
        <v>42</v>
      </c>
      <c r="T54" s="114">
        <v>8.3682008368200832E-4</v>
      </c>
      <c r="U54" s="116"/>
      <c r="V54" s="117"/>
      <c r="W54" s="113">
        <v>204</v>
      </c>
      <c r="X54" s="114">
        <v>4.0645546921697553E-3</v>
      </c>
      <c r="Y54" s="118"/>
      <c r="Z54" s="117"/>
      <c r="AA54" s="118"/>
      <c r="AB54" s="117"/>
      <c r="AC54" s="113">
        <v>50</v>
      </c>
      <c r="AD54" s="114">
        <v>9.9621438533572431E-4</v>
      </c>
      <c r="AE54" s="119">
        <v>47761</v>
      </c>
      <c r="AF54" s="114">
        <v>0.95160390516039051</v>
      </c>
      <c r="AG54" s="113">
        <v>2429</v>
      </c>
      <c r="AH54" s="114">
        <v>4.8396094839609487E-2</v>
      </c>
      <c r="AI54" s="119">
        <v>50190</v>
      </c>
      <c r="AJ54" s="120">
        <v>0.57761358928324813</v>
      </c>
      <c r="AL54" s="121">
        <v>0</v>
      </c>
      <c r="AM54" s="120">
        <v>0</v>
      </c>
      <c r="AO54" s="121">
        <v>0</v>
      </c>
      <c r="AP54" s="120">
        <v>0</v>
      </c>
      <c r="AR54" s="122"/>
      <c r="AS54" s="117"/>
      <c r="AT54" s="123">
        <v>17691</v>
      </c>
      <c r="AU54" s="114">
        <v>0.35248057381948594</v>
      </c>
      <c r="AV54" s="116"/>
      <c r="AW54" s="117"/>
      <c r="AX54" s="116"/>
      <c r="AY54" s="117"/>
      <c r="AZ54" s="124" t="s">
        <v>203</v>
      </c>
      <c r="BA54" s="119">
        <v>17691</v>
      </c>
      <c r="BB54" s="125">
        <v>0.35248057381948594</v>
      </c>
      <c r="BC54" s="126">
        <v>2</v>
      </c>
      <c r="BD54" s="126"/>
      <c r="BE54" s="126">
        <v>4</v>
      </c>
      <c r="BF54" s="126">
        <v>5</v>
      </c>
      <c r="BG54" s="126"/>
      <c r="BH54" s="126">
        <v>3</v>
      </c>
      <c r="BI54" s="126"/>
      <c r="BJ54" s="126"/>
      <c r="BK54" s="126"/>
      <c r="BL54" s="126"/>
      <c r="BM54" s="126">
        <v>1</v>
      </c>
      <c r="BN54" s="126"/>
      <c r="BO54" s="126"/>
      <c r="BP54" s="124" t="s">
        <v>7</v>
      </c>
      <c r="BQ54" s="119">
        <v>15028</v>
      </c>
      <c r="BR54" s="114">
        <v>0.2994221956565053</v>
      </c>
      <c r="BS54" s="119">
        <v>2663</v>
      </c>
      <c r="BT54" s="127">
        <v>5.3058378162980646E-2</v>
      </c>
    </row>
    <row r="55" spans="1:72" ht="17.100000000000001" customHeight="1">
      <c r="A55" s="111" t="s">
        <v>270</v>
      </c>
      <c r="B55" s="112">
        <v>13849</v>
      </c>
      <c r="C55" s="113">
        <v>1987</v>
      </c>
      <c r="D55" s="114">
        <v>0.25164640324214793</v>
      </c>
      <c r="E55" s="115">
        <v>2464</v>
      </c>
      <c r="F55" s="114">
        <v>0.31205673758865249</v>
      </c>
      <c r="G55" s="113">
        <v>1317</v>
      </c>
      <c r="H55" s="114">
        <v>0.16679331306990883</v>
      </c>
      <c r="I55" s="113">
        <v>1193</v>
      </c>
      <c r="J55" s="114">
        <v>0.15108915906788248</v>
      </c>
      <c r="K55" s="113">
        <v>37</v>
      </c>
      <c r="L55" s="114">
        <v>4.6859169199594732E-3</v>
      </c>
      <c r="M55" s="113">
        <v>567</v>
      </c>
      <c r="N55" s="114">
        <v>7.1808510638297879E-2</v>
      </c>
      <c r="O55" s="113">
        <v>19</v>
      </c>
      <c r="P55" s="114">
        <v>2.4062816616008107E-3</v>
      </c>
      <c r="Q55" s="113">
        <v>4</v>
      </c>
      <c r="R55" s="114">
        <v>5.0658561296859173E-4</v>
      </c>
      <c r="S55" s="113">
        <v>4</v>
      </c>
      <c r="T55" s="114">
        <v>5.0658561296859173E-4</v>
      </c>
      <c r="U55" s="116"/>
      <c r="V55" s="117"/>
      <c r="W55" s="113">
        <v>30</v>
      </c>
      <c r="X55" s="114">
        <v>3.7993920972644378E-3</v>
      </c>
      <c r="Y55" s="118"/>
      <c r="Z55" s="117"/>
      <c r="AA55" s="118"/>
      <c r="AB55" s="117"/>
      <c r="AC55" s="113">
        <v>21</v>
      </c>
      <c r="AD55" s="114">
        <v>2.6595744680851063E-3</v>
      </c>
      <c r="AE55" s="119">
        <v>7643</v>
      </c>
      <c r="AF55" s="114">
        <v>0.96795845997973662</v>
      </c>
      <c r="AG55" s="113">
        <v>253</v>
      </c>
      <c r="AH55" s="114">
        <v>3.2041540020263423E-2</v>
      </c>
      <c r="AI55" s="119">
        <v>7896</v>
      </c>
      <c r="AJ55" s="120">
        <v>0.57014946927575993</v>
      </c>
      <c r="AL55" s="121">
        <v>0</v>
      </c>
      <c r="AM55" s="120">
        <v>0</v>
      </c>
      <c r="AO55" s="121">
        <v>0</v>
      </c>
      <c r="AP55" s="120">
        <v>0</v>
      </c>
      <c r="AR55" s="122"/>
      <c r="AS55" s="117"/>
      <c r="AT55" s="123">
        <v>2558</v>
      </c>
      <c r="AU55" s="114">
        <v>0.32396149949341441</v>
      </c>
      <c r="AV55" s="116"/>
      <c r="AW55" s="117"/>
      <c r="AX55" s="116"/>
      <c r="AY55" s="117"/>
      <c r="AZ55" s="124" t="s">
        <v>203</v>
      </c>
      <c r="BA55" s="119">
        <v>2558</v>
      </c>
      <c r="BB55" s="125">
        <v>0.32396149949341441</v>
      </c>
      <c r="BC55" s="126">
        <v>2</v>
      </c>
      <c r="BD55" s="126"/>
      <c r="BE55" s="126">
        <v>3</v>
      </c>
      <c r="BF55" s="126">
        <v>4</v>
      </c>
      <c r="BG55" s="126"/>
      <c r="BH55" s="126">
        <v>5</v>
      </c>
      <c r="BI55" s="126"/>
      <c r="BJ55" s="126"/>
      <c r="BK55" s="126"/>
      <c r="BL55" s="126"/>
      <c r="BM55" s="126">
        <v>1</v>
      </c>
      <c r="BN55" s="126"/>
      <c r="BO55" s="126"/>
      <c r="BP55" s="124" t="s">
        <v>7</v>
      </c>
      <c r="BQ55" s="119">
        <v>1987</v>
      </c>
      <c r="BR55" s="114">
        <v>0.25164640324214793</v>
      </c>
      <c r="BS55" s="119">
        <v>571</v>
      </c>
      <c r="BT55" s="127">
        <v>7.2315096251266475E-2</v>
      </c>
    </row>
    <row r="56" spans="1:72" ht="17.100000000000001" customHeight="1">
      <c r="A56" s="111" t="s">
        <v>271</v>
      </c>
      <c r="B56" s="112">
        <v>17204</v>
      </c>
      <c r="C56" s="113">
        <v>1632</v>
      </c>
      <c r="D56" s="114">
        <v>0.16771143767341487</v>
      </c>
      <c r="E56" s="115">
        <v>3664</v>
      </c>
      <c r="F56" s="114">
        <v>0.37652861987462749</v>
      </c>
      <c r="G56" s="113">
        <v>2329</v>
      </c>
      <c r="H56" s="114">
        <v>0.23933819751310245</v>
      </c>
      <c r="I56" s="113">
        <v>453</v>
      </c>
      <c r="J56" s="114">
        <v>4.6552255677730962E-2</v>
      </c>
      <c r="K56" s="113">
        <v>159</v>
      </c>
      <c r="L56" s="114">
        <v>1.6339533449799611E-2</v>
      </c>
      <c r="M56" s="113">
        <v>676</v>
      </c>
      <c r="N56" s="114">
        <v>6.946870825197822E-2</v>
      </c>
      <c r="O56" s="113">
        <v>72</v>
      </c>
      <c r="P56" s="114">
        <v>7.399034015003597E-3</v>
      </c>
      <c r="Q56" s="113">
        <v>49</v>
      </c>
      <c r="R56" s="114">
        <v>5.0354537046552253E-3</v>
      </c>
      <c r="S56" s="113">
        <v>21</v>
      </c>
      <c r="T56" s="114">
        <v>2.1580515877093823E-3</v>
      </c>
      <c r="U56" s="116"/>
      <c r="V56" s="117"/>
      <c r="W56" s="113">
        <v>65</v>
      </c>
      <c r="X56" s="114">
        <v>6.6796834857671362E-3</v>
      </c>
      <c r="Y56" s="118"/>
      <c r="Z56" s="117"/>
      <c r="AA56" s="118"/>
      <c r="AB56" s="117"/>
      <c r="AC56" s="113">
        <v>18</v>
      </c>
      <c r="AD56" s="114">
        <v>1.8497585037508992E-3</v>
      </c>
      <c r="AE56" s="119">
        <v>9138</v>
      </c>
      <c r="AF56" s="114">
        <v>0.93906073373753984</v>
      </c>
      <c r="AG56" s="113">
        <v>593</v>
      </c>
      <c r="AH56" s="114">
        <v>6.0939266262460177E-2</v>
      </c>
      <c r="AI56" s="119">
        <v>9731</v>
      </c>
      <c r="AJ56" s="120">
        <v>0.56562427342478494</v>
      </c>
      <c r="AL56" s="121">
        <v>0</v>
      </c>
      <c r="AM56" s="120">
        <v>0</v>
      </c>
      <c r="AO56" s="121">
        <v>0</v>
      </c>
      <c r="AP56" s="120">
        <v>0</v>
      </c>
      <c r="AR56" s="122"/>
      <c r="AS56" s="117"/>
      <c r="AT56" s="123">
        <v>4030</v>
      </c>
      <c r="AU56" s="114">
        <v>0.41414037611756244</v>
      </c>
      <c r="AV56" s="116"/>
      <c r="AW56" s="117"/>
      <c r="AX56" s="116"/>
      <c r="AY56" s="117"/>
      <c r="AZ56" s="124" t="s">
        <v>203</v>
      </c>
      <c r="BA56" s="119">
        <v>4030</v>
      </c>
      <c r="BB56" s="125">
        <v>0.41414037611756244</v>
      </c>
      <c r="BC56" s="126">
        <v>3</v>
      </c>
      <c r="BD56" s="126"/>
      <c r="BE56" s="126">
        <v>2</v>
      </c>
      <c r="BF56" s="126">
        <v>5</v>
      </c>
      <c r="BG56" s="126"/>
      <c r="BH56" s="126">
        <v>4</v>
      </c>
      <c r="BI56" s="126"/>
      <c r="BJ56" s="126"/>
      <c r="BK56" s="126"/>
      <c r="BL56" s="126"/>
      <c r="BM56" s="126">
        <v>1</v>
      </c>
      <c r="BN56" s="126"/>
      <c r="BO56" s="126"/>
      <c r="BP56" s="124" t="s">
        <v>10</v>
      </c>
      <c r="BQ56" s="119">
        <v>2329</v>
      </c>
      <c r="BR56" s="114">
        <v>0.23933819751310245</v>
      </c>
      <c r="BS56" s="119">
        <v>1701</v>
      </c>
      <c r="BT56" s="127">
        <v>0.17480217860445998</v>
      </c>
    </row>
    <row r="57" spans="1:72" ht="17.100000000000001" customHeight="1">
      <c r="A57" s="111" t="s">
        <v>272</v>
      </c>
      <c r="B57" s="112">
        <v>51768</v>
      </c>
      <c r="C57" s="113">
        <v>4245</v>
      </c>
      <c r="D57" s="114">
        <v>0.11664010551189756</v>
      </c>
      <c r="E57" s="115">
        <v>17985</v>
      </c>
      <c r="F57" s="114">
        <v>0.49417486398856952</v>
      </c>
      <c r="G57" s="113">
        <v>11457</v>
      </c>
      <c r="H57" s="114">
        <v>0.31480463812716381</v>
      </c>
      <c r="I57" s="113">
        <v>611</v>
      </c>
      <c r="J57" s="114">
        <v>1.6788481617849096E-2</v>
      </c>
      <c r="K57" s="113">
        <v>193</v>
      </c>
      <c r="L57" s="114">
        <v>5.30307193493433E-3</v>
      </c>
      <c r="M57" s="113">
        <v>233</v>
      </c>
      <c r="N57" s="114">
        <v>6.4021542012419634E-3</v>
      </c>
      <c r="O57" s="113">
        <v>192</v>
      </c>
      <c r="P57" s="114">
        <v>5.2755948782766387E-3</v>
      </c>
      <c r="Q57" s="113">
        <v>70</v>
      </c>
      <c r="R57" s="114">
        <v>1.9233939660383581E-3</v>
      </c>
      <c r="S57" s="113">
        <v>40</v>
      </c>
      <c r="T57" s="114">
        <v>1.0990822663076332E-3</v>
      </c>
      <c r="U57" s="116"/>
      <c r="V57" s="117"/>
      <c r="W57" s="113">
        <v>215</v>
      </c>
      <c r="X57" s="114">
        <v>5.9075671814035283E-3</v>
      </c>
      <c r="Y57" s="118"/>
      <c r="Z57" s="117"/>
      <c r="AA57" s="118"/>
      <c r="AB57" s="117"/>
      <c r="AC57" s="113">
        <v>17</v>
      </c>
      <c r="AD57" s="114">
        <v>4.671099631807441E-4</v>
      </c>
      <c r="AE57" s="119">
        <v>35258</v>
      </c>
      <c r="AF57" s="114">
        <v>0.96878606363686326</v>
      </c>
      <c r="AG57" s="113">
        <v>1136</v>
      </c>
      <c r="AH57" s="114">
        <v>3.1213936363136782E-2</v>
      </c>
      <c r="AI57" s="119">
        <v>36394</v>
      </c>
      <c r="AJ57" s="120">
        <v>0.70302117138000308</v>
      </c>
      <c r="AL57" s="121">
        <v>0</v>
      </c>
      <c r="AM57" s="120">
        <v>0</v>
      </c>
      <c r="AO57" s="121">
        <v>0</v>
      </c>
      <c r="AP57" s="120">
        <v>0</v>
      </c>
      <c r="AR57" s="122"/>
      <c r="AS57" s="117"/>
      <c r="AT57" s="123">
        <v>18695</v>
      </c>
      <c r="AU57" s="114">
        <v>0.51368357421553001</v>
      </c>
      <c r="AV57" s="116"/>
      <c r="AW57" s="117"/>
      <c r="AX57" s="116"/>
      <c r="AY57" s="117"/>
      <c r="AZ57" s="124" t="s">
        <v>203</v>
      </c>
      <c r="BA57" s="119">
        <v>18695</v>
      </c>
      <c r="BB57" s="125">
        <v>0.51368357421553001</v>
      </c>
      <c r="BC57" s="126">
        <v>3</v>
      </c>
      <c r="BD57" s="126"/>
      <c r="BE57" s="126">
        <v>2</v>
      </c>
      <c r="BF57" s="126">
        <v>4</v>
      </c>
      <c r="BG57" s="126"/>
      <c r="BH57" s="126">
        <v>5</v>
      </c>
      <c r="BI57" s="126"/>
      <c r="BJ57" s="126"/>
      <c r="BK57" s="126"/>
      <c r="BL57" s="126"/>
      <c r="BM57" s="126">
        <v>1</v>
      </c>
      <c r="BN57" s="126"/>
      <c r="BO57" s="126"/>
      <c r="BP57" s="124" t="s">
        <v>10</v>
      </c>
      <c r="BQ57" s="119">
        <v>11457</v>
      </c>
      <c r="BR57" s="114">
        <v>0.31480463812716381</v>
      </c>
      <c r="BS57" s="119">
        <v>7238</v>
      </c>
      <c r="BT57" s="127">
        <v>0.19887893608836621</v>
      </c>
    </row>
    <row r="58" spans="1:72" ht="17.100000000000001" customHeight="1">
      <c r="A58" s="111" t="s">
        <v>273</v>
      </c>
      <c r="B58" s="112">
        <v>11571</v>
      </c>
      <c r="C58" s="113">
        <v>1592</v>
      </c>
      <c r="D58" s="114">
        <v>0.20126422250316056</v>
      </c>
      <c r="E58" s="115">
        <v>3010</v>
      </c>
      <c r="F58" s="114">
        <v>0.38053097345132741</v>
      </c>
      <c r="G58" s="113">
        <v>2344</v>
      </c>
      <c r="H58" s="114">
        <v>0.2963337547408344</v>
      </c>
      <c r="I58" s="113">
        <v>83</v>
      </c>
      <c r="J58" s="114">
        <v>1.0493046776232617E-2</v>
      </c>
      <c r="K58" s="113">
        <v>52</v>
      </c>
      <c r="L58" s="114">
        <v>6.5739570164348926E-3</v>
      </c>
      <c r="M58" s="113">
        <v>495</v>
      </c>
      <c r="N58" s="114">
        <v>6.2579013906447531E-2</v>
      </c>
      <c r="O58" s="113">
        <v>32</v>
      </c>
      <c r="P58" s="114">
        <v>4.0455120101137798E-3</v>
      </c>
      <c r="Q58" s="113">
        <v>12</v>
      </c>
      <c r="R58" s="114">
        <v>1.5170670037926676E-3</v>
      </c>
      <c r="S58" s="113">
        <v>7</v>
      </c>
      <c r="T58" s="114">
        <v>8.8495575221238937E-4</v>
      </c>
      <c r="U58" s="116"/>
      <c r="V58" s="117"/>
      <c r="W58" s="113">
        <v>43</v>
      </c>
      <c r="X58" s="114">
        <v>5.4361567635903916E-3</v>
      </c>
      <c r="Y58" s="118"/>
      <c r="Z58" s="117"/>
      <c r="AA58" s="118"/>
      <c r="AB58" s="117"/>
      <c r="AC58" s="113">
        <v>7</v>
      </c>
      <c r="AD58" s="114">
        <v>8.8495575221238937E-4</v>
      </c>
      <c r="AE58" s="119">
        <v>7677</v>
      </c>
      <c r="AF58" s="114">
        <v>0.97054361567635905</v>
      </c>
      <c r="AG58" s="113">
        <v>233</v>
      </c>
      <c r="AH58" s="114">
        <v>2.945638432364096E-2</v>
      </c>
      <c r="AI58" s="119">
        <v>7910</v>
      </c>
      <c r="AJ58" s="120">
        <v>0.68360556563823349</v>
      </c>
      <c r="AL58" s="121">
        <v>0</v>
      </c>
      <c r="AM58" s="120">
        <v>0</v>
      </c>
      <c r="AO58" s="121">
        <v>0</v>
      </c>
      <c r="AP58" s="120">
        <v>0</v>
      </c>
      <c r="AR58" s="122"/>
      <c r="AS58" s="117"/>
      <c r="AT58" s="123">
        <v>3156</v>
      </c>
      <c r="AU58" s="114">
        <v>0.39898862199747154</v>
      </c>
      <c r="AV58" s="116"/>
      <c r="AW58" s="117"/>
      <c r="AX58" s="116"/>
      <c r="AY58" s="117"/>
      <c r="AZ58" s="124" t="s">
        <v>203</v>
      </c>
      <c r="BA58" s="119">
        <v>3156</v>
      </c>
      <c r="BB58" s="125">
        <v>0.39898862199747154</v>
      </c>
      <c r="BC58" s="126">
        <v>3</v>
      </c>
      <c r="BD58" s="126"/>
      <c r="BE58" s="126">
        <v>2</v>
      </c>
      <c r="BF58" s="126">
        <v>5</v>
      </c>
      <c r="BG58" s="126"/>
      <c r="BH58" s="126">
        <v>4</v>
      </c>
      <c r="BI58" s="126"/>
      <c r="BJ58" s="126"/>
      <c r="BK58" s="126"/>
      <c r="BL58" s="126"/>
      <c r="BM58" s="126">
        <v>1</v>
      </c>
      <c r="BN58" s="126"/>
      <c r="BO58" s="126"/>
      <c r="BP58" s="124" t="s">
        <v>10</v>
      </c>
      <c r="BQ58" s="119">
        <v>2344</v>
      </c>
      <c r="BR58" s="114">
        <v>0.2963337547408344</v>
      </c>
      <c r="BS58" s="119">
        <v>812</v>
      </c>
      <c r="BT58" s="127">
        <v>0.10265486725663714</v>
      </c>
    </row>
    <row r="59" spans="1:72" ht="17.100000000000001" customHeight="1">
      <c r="A59" s="111" t="s">
        <v>274</v>
      </c>
      <c r="B59" s="112">
        <v>42062</v>
      </c>
      <c r="C59" s="113">
        <v>2029</v>
      </c>
      <c r="D59" s="114">
        <v>7.5360273362056154E-2</v>
      </c>
      <c r="E59" s="115">
        <v>11352</v>
      </c>
      <c r="F59" s="114">
        <v>0.42163125835685633</v>
      </c>
      <c r="G59" s="113">
        <v>3869</v>
      </c>
      <c r="H59" s="114">
        <v>0.1437007874015748</v>
      </c>
      <c r="I59" s="113">
        <v>6851</v>
      </c>
      <c r="J59" s="114">
        <v>0.25445699004605554</v>
      </c>
      <c r="K59" s="113">
        <v>207</v>
      </c>
      <c r="L59" s="114">
        <v>7.6883078294458472E-3</v>
      </c>
      <c r="M59" s="113">
        <v>1022</v>
      </c>
      <c r="N59" s="114">
        <v>3.7958698558906552E-2</v>
      </c>
      <c r="O59" s="113">
        <v>240</v>
      </c>
      <c r="P59" s="114">
        <v>8.9139800921111279E-3</v>
      </c>
      <c r="Q59" s="113">
        <v>53</v>
      </c>
      <c r="R59" s="114">
        <v>1.968503937007874E-3</v>
      </c>
      <c r="S59" s="113">
        <v>27</v>
      </c>
      <c r="T59" s="114">
        <v>1.0028227603625019E-3</v>
      </c>
      <c r="U59" s="116"/>
      <c r="V59" s="117"/>
      <c r="W59" s="113">
        <v>211</v>
      </c>
      <c r="X59" s="114">
        <v>7.8368741643143666E-3</v>
      </c>
      <c r="Y59" s="118"/>
      <c r="Z59" s="117"/>
      <c r="AA59" s="118"/>
      <c r="AB59" s="117"/>
      <c r="AC59" s="113">
        <v>17</v>
      </c>
      <c r="AD59" s="114">
        <v>6.3140692319120484E-4</v>
      </c>
      <c r="AE59" s="119">
        <v>25878</v>
      </c>
      <c r="AF59" s="114">
        <v>0.96114990343188234</v>
      </c>
      <c r="AG59" s="113">
        <v>1046</v>
      </c>
      <c r="AH59" s="114">
        <v>3.8850096568117665E-2</v>
      </c>
      <c r="AI59" s="119">
        <v>26924</v>
      </c>
      <c r="AJ59" s="120">
        <v>0.64010270552993198</v>
      </c>
      <c r="AL59" s="121">
        <v>0</v>
      </c>
      <c r="AM59" s="120">
        <v>0</v>
      </c>
      <c r="AO59" s="121">
        <v>0</v>
      </c>
      <c r="AP59" s="120">
        <v>0</v>
      </c>
      <c r="AR59" s="122"/>
      <c r="AS59" s="117"/>
      <c r="AT59" s="123">
        <v>12090</v>
      </c>
      <c r="AU59" s="114">
        <v>0.44904174714009804</v>
      </c>
      <c r="AV59" s="116"/>
      <c r="AW59" s="117"/>
      <c r="AX59" s="116"/>
      <c r="AY59" s="117"/>
      <c r="AZ59" s="124" t="s">
        <v>203</v>
      </c>
      <c r="BA59" s="119">
        <v>12090</v>
      </c>
      <c r="BB59" s="125">
        <v>0.44904174714009804</v>
      </c>
      <c r="BC59" s="126">
        <v>4</v>
      </c>
      <c r="BD59" s="126"/>
      <c r="BE59" s="126">
        <v>3</v>
      </c>
      <c r="BF59" s="126">
        <v>2</v>
      </c>
      <c r="BG59" s="126"/>
      <c r="BH59" s="126">
        <v>5</v>
      </c>
      <c r="BI59" s="126"/>
      <c r="BJ59" s="126"/>
      <c r="BK59" s="126"/>
      <c r="BL59" s="126"/>
      <c r="BM59" s="126">
        <v>1</v>
      </c>
      <c r="BN59" s="126"/>
      <c r="BO59" s="126"/>
      <c r="BP59" s="124" t="s">
        <v>11</v>
      </c>
      <c r="BQ59" s="119">
        <v>6851</v>
      </c>
      <c r="BR59" s="114">
        <v>0.25445699004605554</v>
      </c>
      <c r="BS59" s="119">
        <v>5239</v>
      </c>
      <c r="BT59" s="127">
        <v>0.19458475709404249</v>
      </c>
    </row>
    <row r="60" spans="1:72" ht="17.100000000000001" customHeight="1">
      <c r="A60" s="111" t="s">
        <v>275</v>
      </c>
      <c r="B60" s="112">
        <v>39011</v>
      </c>
      <c r="C60" s="113">
        <v>7290</v>
      </c>
      <c r="D60" s="114">
        <v>0.29178674351585016</v>
      </c>
      <c r="E60" s="115">
        <v>11827</v>
      </c>
      <c r="F60" s="114">
        <v>0.47338296509766248</v>
      </c>
      <c r="G60" s="113">
        <v>959</v>
      </c>
      <c r="H60" s="114">
        <v>3.8384566122318282E-2</v>
      </c>
      <c r="I60" s="113">
        <v>689</v>
      </c>
      <c r="J60" s="114">
        <v>2.7577649695805315E-2</v>
      </c>
      <c r="K60" s="113">
        <v>343</v>
      </c>
      <c r="L60" s="114">
        <v>1.3728786423310919E-2</v>
      </c>
      <c r="M60" s="113">
        <v>2156</v>
      </c>
      <c r="N60" s="114">
        <v>8.6295228946525776E-2</v>
      </c>
      <c r="O60" s="113">
        <v>165</v>
      </c>
      <c r="P60" s="114">
        <v>6.6042267050912583E-3</v>
      </c>
      <c r="Q60" s="113">
        <v>78</v>
      </c>
      <c r="R60" s="114">
        <v>3.1219980787704129E-3</v>
      </c>
      <c r="S60" s="113">
        <v>37</v>
      </c>
      <c r="T60" s="114">
        <v>1.4809478065962215E-3</v>
      </c>
      <c r="U60" s="116"/>
      <c r="V60" s="117"/>
      <c r="W60" s="113">
        <v>194</v>
      </c>
      <c r="X60" s="114">
        <v>7.7649695805315404E-3</v>
      </c>
      <c r="Y60" s="118"/>
      <c r="Z60" s="117"/>
      <c r="AA60" s="118"/>
      <c r="AB60" s="117"/>
      <c r="AC60" s="113">
        <v>17</v>
      </c>
      <c r="AD60" s="114">
        <v>6.8043547870637203E-4</v>
      </c>
      <c r="AE60" s="119">
        <v>23755</v>
      </c>
      <c r="AF60" s="114">
        <v>0.95080851745116879</v>
      </c>
      <c r="AG60" s="113">
        <v>1229</v>
      </c>
      <c r="AH60" s="114">
        <v>4.9191482548831253E-2</v>
      </c>
      <c r="AI60" s="119">
        <v>24984</v>
      </c>
      <c r="AJ60" s="120">
        <v>0.64043474917331011</v>
      </c>
      <c r="AL60" s="121">
        <v>0</v>
      </c>
      <c r="AM60" s="120">
        <v>0</v>
      </c>
      <c r="AO60" s="121">
        <v>0</v>
      </c>
      <c r="AP60" s="120">
        <v>0</v>
      </c>
      <c r="AR60" s="122"/>
      <c r="AS60" s="117"/>
      <c r="AT60" s="123">
        <v>12644</v>
      </c>
      <c r="AU60" s="114">
        <v>0.50608389369196283</v>
      </c>
      <c r="AV60" s="116"/>
      <c r="AW60" s="117"/>
      <c r="AX60" s="116"/>
      <c r="AY60" s="117"/>
      <c r="AZ60" s="124" t="s">
        <v>203</v>
      </c>
      <c r="BA60" s="119">
        <v>12644</v>
      </c>
      <c r="BB60" s="125">
        <v>0.50608389369196283</v>
      </c>
      <c r="BC60" s="126">
        <v>2</v>
      </c>
      <c r="BD60" s="126"/>
      <c r="BE60" s="126">
        <v>4</v>
      </c>
      <c r="BF60" s="126">
        <v>5</v>
      </c>
      <c r="BG60" s="126"/>
      <c r="BH60" s="126">
        <v>3</v>
      </c>
      <c r="BI60" s="126"/>
      <c r="BJ60" s="126"/>
      <c r="BK60" s="126"/>
      <c r="BL60" s="126"/>
      <c r="BM60" s="126">
        <v>1</v>
      </c>
      <c r="BN60" s="126"/>
      <c r="BO60" s="126"/>
      <c r="BP60" s="124" t="s">
        <v>7</v>
      </c>
      <c r="BQ60" s="119">
        <v>7290</v>
      </c>
      <c r="BR60" s="114">
        <v>0.29178674351585016</v>
      </c>
      <c r="BS60" s="119">
        <v>5354</v>
      </c>
      <c r="BT60" s="127">
        <v>0.21429715017611267</v>
      </c>
    </row>
    <row r="61" spans="1:72" ht="17.100000000000001" customHeight="1">
      <c r="A61" s="111" t="s">
        <v>276</v>
      </c>
      <c r="B61" s="112">
        <v>8403</v>
      </c>
      <c r="C61" s="113">
        <v>403</v>
      </c>
      <c r="D61" s="114">
        <v>6.9506726457399109E-2</v>
      </c>
      <c r="E61" s="115">
        <v>1561</v>
      </c>
      <c r="F61" s="114">
        <v>0.26923076923076922</v>
      </c>
      <c r="G61" s="113">
        <v>729</v>
      </c>
      <c r="H61" s="114">
        <v>0.12573301138323559</v>
      </c>
      <c r="I61" s="113">
        <v>1395</v>
      </c>
      <c r="J61" s="114">
        <v>0.24060020696791998</v>
      </c>
      <c r="K61" s="113">
        <v>22</v>
      </c>
      <c r="L61" s="114">
        <v>3.7944118661607453E-3</v>
      </c>
      <c r="M61" s="113">
        <v>1335</v>
      </c>
      <c r="N61" s="114">
        <v>0.23025181096929975</v>
      </c>
      <c r="O61" s="113">
        <v>67</v>
      </c>
      <c r="P61" s="114">
        <v>1.1555708865125906E-2</v>
      </c>
      <c r="Q61" s="113">
        <v>6</v>
      </c>
      <c r="R61" s="114">
        <v>1.0348395998620215E-3</v>
      </c>
      <c r="S61" s="113">
        <v>4</v>
      </c>
      <c r="T61" s="114">
        <v>6.898930665746809E-4</v>
      </c>
      <c r="U61" s="116"/>
      <c r="V61" s="117"/>
      <c r="W61" s="113">
        <v>36</v>
      </c>
      <c r="X61" s="114">
        <v>6.2090375991721283E-3</v>
      </c>
      <c r="Y61" s="118"/>
      <c r="Z61" s="117"/>
      <c r="AA61" s="118"/>
      <c r="AB61" s="117"/>
      <c r="AC61" s="113">
        <v>2</v>
      </c>
      <c r="AD61" s="114">
        <v>3.4494653328734045E-4</v>
      </c>
      <c r="AE61" s="119">
        <v>5560</v>
      </c>
      <c r="AF61" s="114">
        <v>0.95895136253880653</v>
      </c>
      <c r="AG61" s="113">
        <v>238</v>
      </c>
      <c r="AH61" s="114">
        <v>4.1048637461193513E-2</v>
      </c>
      <c r="AI61" s="119">
        <v>5798</v>
      </c>
      <c r="AJ61" s="120">
        <v>0.68999166964179459</v>
      </c>
      <c r="AL61" s="121">
        <v>0</v>
      </c>
      <c r="AM61" s="120">
        <v>0</v>
      </c>
      <c r="AO61" s="121">
        <v>0</v>
      </c>
      <c r="AP61" s="120">
        <v>0</v>
      </c>
      <c r="AR61" s="122"/>
      <c r="AS61" s="117"/>
      <c r="AT61" s="123">
        <v>1696</v>
      </c>
      <c r="AU61" s="114">
        <v>0.2925146602276647</v>
      </c>
      <c r="AV61" s="116"/>
      <c r="AW61" s="117"/>
      <c r="AX61" s="116"/>
      <c r="AY61" s="117"/>
      <c r="AZ61" s="124" t="s">
        <v>203</v>
      </c>
      <c r="BA61" s="119">
        <v>1696</v>
      </c>
      <c r="BB61" s="125">
        <v>0.2925146602276647</v>
      </c>
      <c r="BC61" s="126">
        <v>5</v>
      </c>
      <c r="BD61" s="126"/>
      <c r="BE61" s="126">
        <v>4</v>
      </c>
      <c r="BF61" s="126">
        <v>2</v>
      </c>
      <c r="BG61" s="126"/>
      <c r="BH61" s="126">
        <v>3</v>
      </c>
      <c r="BI61" s="126"/>
      <c r="BJ61" s="126"/>
      <c r="BK61" s="126"/>
      <c r="BL61" s="126"/>
      <c r="BM61" s="126">
        <v>1</v>
      </c>
      <c r="BN61" s="126"/>
      <c r="BO61" s="126"/>
      <c r="BP61" s="124" t="s">
        <v>11</v>
      </c>
      <c r="BQ61" s="119">
        <v>1395</v>
      </c>
      <c r="BR61" s="114">
        <v>0.24060020696791998</v>
      </c>
      <c r="BS61" s="119">
        <v>301</v>
      </c>
      <c r="BT61" s="127">
        <v>5.1914453259744725E-2</v>
      </c>
    </row>
    <row r="62" spans="1:72" ht="17.100000000000001" customHeight="1">
      <c r="A62" s="111" t="s">
        <v>277</v>
      </c>
      <c r="B62" s="112">
        <v>14399</v>
      </c>
      <c r="C62" s="113">
        <v>1039</v>
      </c>
      <c r="D62" s="114">
        <v>0.11231218246676035</v>
      </c>
      <c r="E62" s="115">
        <v>3737</v>
      </c>
      <c r="F62" s="114">
        <v>0.4039563290455086</v>
      </c>
      <c r="G62" s="113">
        <v>3178</v>
      </c>
      <c r="H62" s="114">
        <v>0.34353042914279536</v>
      </c>
      <c r="I62" s="113">
        <v>357</v>
      </c>
      <c r="J62" s="114">
        <v>3.859042265701005E-2</v>
      </c>
      <c r="K62" s="113">
        <v>52</v>
      </c>
      <c r="L62" s="114">
        <v>5.6210139444384391E-3</v>
      </c>
      <c r="M62" s="113">
        <v>410</v>
      </c>
      <c r="N62" s="114">
        <v>4.4319533023456925E-2</v>
      </c>
      <c r="O62" s="113">
        <v>62</v>
      </c>
      <c r="P62" s="114">
        <v>6.7019781645227547E-3</v>
      </c>
      <c r="Q62" s="113">
        <v>21</v>
      </c>
      <c r="R62" s="114">
        <v>2.2700248621770618E-3</v>
      </c>
      <c r="S62" s="113">
        <v>18</v>
      </c>
      <c r="T62" s="114">
        <v>1.9457355961517674E-3</v>
      </c>
      <c r="U62" s="116"/>
      <c r="V62" s="117"/>
      <c r="W62" s="113">
        <v>55</v>
      </c>
      <c r="X62" s="114">
        <v>5.945303210463734E-3</v>
      </c>
      <c r="Y62" s="118"/>
      <c r="Z62" s="117"/>
      <c r="AA62" s="118"/>
      <c r="AB62" s="117"/>
      <c r="AC62" s="113">
        <v>9</v>
      </c>
      <c r="AD62" s="114">
        <v>9.7286779807588368E-4</v>
      </c>
      <c r="AE62" s="119">
        <v>8938</v>
      </c>
      <c r="AF62" s="114">
        <v>0.96616581991136097</v>
      </c>
      <c r="AG62" s="113">
        <v>313</v>
      </c>
      <c r="AH62" s="114">
        <v>3.3834180088639067E-2</v>
      </c>
      <c r="AI62" s="119">
        <v>9251</v>
      </c>
      <c r="AJ62" s="120">
        <v>0.64247517188693659</v>
      </c>
      <c r="AL62" s="121">
        <v>0</v>
      </c>
      <c r="AM62" s="120">
        <v>0</v>
      </c>
      <c r="AO62" s="121">
        <v>0</v>
      </c>
      <c r="AP62" s="120">
        <v>0</v>
      </c>
      <c r="AR62" s="122"/>
      <c r="AS62" s="117"/>
      <c r="AT62" s="123">
        <v>3945</v>
      </c>
      <c r="AU62" s="114">
        <v>0.42644038482326235</v>
      </c>
      <c r="AV62" s="116"/>
      <c r="AW62" s="117"/>
      <c r="AX62" s="116"/>
      <c r="AY62" s="117"/>
      <c r="AZ62" s="124" t="s">
        <v>203</v>
      </c>
      <c r="BA62" s="119">
        <v>3945</v>
      </c>
      <c r="BB62" s="125">
        <v>0.42644038482326235</v>
      </c>
      <c r="BC62" s="126">
        <v>3</v>
      </c>
      <c r="BD62" s="126"/>
      <c r="BE62" s="126">
        <v>2</v>
      </c>
      <c r="BF62" s="126">
        <v>5</v>
      </c>
      <c r="BG62" s="126"/>
      <c r="BH62" s="126">
        <v>4</v>
      </c>
      <c r="BI62" s="126"/>
      <c r="BJ62" s="126"/>
      <c r="BK62" s="126"/>
      <c r="BL62" s="126"/>
      <c r="BM62" s="126">
        <v>1</v>
      </c>
      <c r="BN62" s="126"/>
      <c r="BO62" s="126"/>
      <c r="BP62" s="124" t="s">
        <v>10</v>
      </c>
      <c r="BQ62" s="119">
        <v>3178</v>
      </c>
      <c r="BR62" s="114">
        <v>0.34353042914279536</v>
      </c>
      <c r="BS62" s="119">
        <v>767</v>
      </c>
      <c r="BT62" s="127">
        <v>8.2909955680466996E-2</v>
      </c>
    </row>
    <row r="63" spans="1:72" ht="17.100000000000001" customHeight="1">
      <c r="A63" s="111" t="s">
        <v>278</v>
      </c>
      <c r="B63" s="112">
        <v>74353</v>
      </c>
      <c r="C63" s="113">
        <v>8479</v>
      </c>
      <c r="D63" s="114">
        <v>0.18396615317856368</v>
      </c>
      <c r="E63" s="115">
        <v>15440</v>
      </c>
      <c r="F63" s="114">
        <v>0.33499674549793884</v>
      </c>
      <c r="G63" s="113">
        <v>13123</v>
      </c>
      <c r="H63" s="114">
        <v>0.28472553699284009</v>
      </c>
      <c r="I63" s="113">
        <v>1429</v>
      </c>
      <c r="J63" s="114">
        <v>3.100455630288566E-2</v>
      </c>
      <c r="K63" s="113">
        <v>626</v>
      </c>
      <c r="L63" s="114">
        <v>1.3582121935343892E-2</v>
      </c>
      <c r="M63" s="113">
        <v>3670</v>
      </c>
      <c r="N63" s="114">
        <v>7.9626817096984159E-2</v>
      </c>
      <c r="O63" s="113">
        <v>480</v>
      </c>
      <c r="P63" s="114">
        <v>1.0414406595790845E-2</v>
      </c>
      <c r="Q63" s="113">
        <v>202</v>
      </c>
      <c r="R63" s="114">
        <v>4.3827294423953132E-3</v>
      </c>
      <c r="S63" s="113">
        <v>264</v>
      </c>
      <c r="T63" s="114">
        <v>5.7279236276849641E-3</v>
      </c>
      <c r="U63" s="116"/>
      <c r="V63" s="117"/>
      <c r="W63" s="113">
        <v>321</v>
      </c>
      <c r="X63" s="114">
        <v>6.964634410935127E-3</v>
      </c>
      <c r="Y63" s="118"/>
      <c r="Z63" s="117"/>
      <c r="AA63" s="118"/>
      <c r="AB63" s="117"/>
      <c r="AC63" s="113">
        <v>27</v>
      </c>
      <c r="AD63" s="114">
        <v>5.8581037101323498E-4</v>
      </c>
      <c r="AE63" s="119">
        <v>44061</v>
      </c>
      <c r="AF63" s="114">
        <v>0.95597743545237579</v>
      </c>
      <c r="AG63" s="113">
        <v>2029</v>
      </c>
      <c r="AH63" s="114">
        <v>4.4022564547624217E-2</v>
      </c>
      <c r="AI63" s="119">
        <v>46090</v>
      </c>
      <c r="AJ63" s="120">
        <v>0.61988083870186816</v>
      </c>
      <c r="AL63" s="121">
        <v>0</v>
      </c>
      <c r="AM63" s="120">
        <v>0</v>
      </c>
      <c r="AO63" s="121">
        <v>0</v>
      </c>
      <c r="AP63" s="120">
        <v>0</v>
      </c>
      <c r="AR63" s="122"/>
      <c r="AS63" s="117"/>
      <c r="AT63" s="123">
        <v>17333</v>
      </c>
      <c r="AU63" s="114">
        <v>0.37606856151008894</v>
      </c>
      <c r="AV63" s="116"/>
      <c r="AW63" s="117"/>
      <c r="AX63" s="116"/>
      <c r="AY63" s="117"/>
      <c r="AZ63" s="124" t="s">
        <v>203</v>
      </c>
      <c r="BA63" s="119">
        <v>17333</v>
      </c>
      <c r="BB63" s="125">
        <v>0.37606856151008894</v>
      </c>
      <c r="BC63" s="126">
        <v>3</v>
      </c>
      <c r="BD63" s="126"/>
      <c r="BE63" s="126">
        <v>2</v>
      </c>
      <c r="BF63" s="126">
        <v>5</v>
      </c>
      <c r="BG63" s="126"/>
      <c r="BH63" s="126">
        <v>4</v>
      </c>
      <c r="BI63" s="126"/>
      <c r="BJ63" s="126"/>
      <c r="BK63" s="126"/>
      <c r="BL63" s="126"/>
      <c r="BM63" s="126">
        <v>1</v>
      </c>
      <c r="BN63" s="126"/>
      <c r="BO63" s="126"/>
      <c r="BP63" s="124" t="s">
        <v>10</v>
      </c>
      <c r="BQ63" s="119">
        <v>13123</v>
      </c>
      <c r="BR63" s="114">
        <v>0.28472553699284009</v>
      </c>
      <c r="BS63" s="119">
        <v>4210</v>
      </c>
      <c r="BT63" s="127">
        <v>9.134302451724885E-2</v>
      </c>
    </row>
    <row r="64" spans="1:72" ht="17.100000000000001" customHeight="1">
      <c r="A64" s="111" t="s">
        <v>279</v>
      </c>
      <c r="B64" s="112">
        <v>15931</v>
      </c>
      <c r="C64" s="113">
        <v>3221</v>
      </c>
      <c r="D64" s="114">
        <v>0.31018875192604006</v>
      </c>
      <c r="E64" s="115">
        <v>4312</v>
      </c>
      <c r="F64" s="114">
        <v>0.4152542372881356</v>
      </c>
      <c r="G64" s="113">
        <v>1828</v>
      </c>
      <c r="H64" s="114">
        <v>0.17604006163328198</v>
      </c>
      <c r="I64" s="113">
        <v>200</v>
      </c>
      <c r="J64" s="114">
        <v>1.9260400616332819E-2</v>
      </c>
      <c r="K64" s="113">
        <v>62</v>
      </c>
      <c r="L64" s="114">
        <v>5.9707241910631741E-3</v>
      </c>
      <c r="M64" s="113">
        <v>44</v>
      </c>
      <c r="N64" s="114">
        <v>4.2372881355932203E-3</v>
      </c>
      <c r="O64" s="113">
        <v>97</v>
      </c>
      <c r="P64" s="114">
        <v>9.3412942989214171E-3</v>
      </c>
      <c r="Q64" s="113">
        <v>30</v>
      </c>
      <c r="R64" s="114">
        <v>2.8890600924499229E-3</v>
      </c>
      <c r="S64" s="113">
        <v>6</v>
      </c>
      <c r="T64" s="114">
        <v>5.7781201848998464E-4</v>
      </c>
      <c r="U64" s="116"/>
      <c r="V64" s="117"/>
      <c r="W64" s="113">
        <v>85</v>
      </c>
      <c r="X64" s="114">
        <v>8.1856702619414485E-3</v>
      </c>
      <c r="Y64" s="118"/>
      <c r="Z64" s="117"/>
      <c r="AA64" s="113">
        <v>6</v>
      </c>
      <c r="AB64" s="114">
        <v>5.7781201848998464E-4</v>
      </c>
      <c r="AC64" s="113">
        <v>6</v>
      </c>
      <c r="AD64" s="114">
        <v>5.7781201848998464E-4</v>
      </c>
      <c r="AE64" s="119">
        <v>9897</v>
      </c>
      <c r="AF64" s="114">
        <v>0.95310092449922956</v>
      </c>
      <c r="AG64" s="113">
        <v>487</v>
      </c>
      <c r="AH64" s="114">
        <v>4.6899075500770417E-2</v>
      </c>
      <c r="AI64" s="119">
        <v>10384</v>
      </c>
      <c r="AJ64" s="120">
        <v>0.65181093465570272</v>
      </c>
      <c r="AL64" s="121">
        <v>0</v>
      </c>
      <c r="AM64" s="120">
        <v>0</v>
      </c>
      <c r="AO64" s="121">
        <v>0</v>
      </c>
      <c r="AP64" s="120">
        <v>0</v>
      </c>
      <c r="AR64" s="122"/>
      <c r="AS64" s="117"/>
      <c r="AT64" s="123">
        <v>4592</v>
      </c>
      <c r="AU64" s="114">
        <v>0.44221879815100151</v>
      </c>
      <c r="AV64" s="116"/>
      <c r="AW64" s="117"/>
      <c r="AX64" s="119">
        <v>250</v>
      </c>
      <c r="AY64" s="114">
        <v>2.4075500770416026E-2</v>
      </c>
      <c r="AZ64" s="124" t="s">
        <v>203</v>
      </c>
      <c r="BA64" s="119">
        <v>4592</v>
      </c>
      <c r="BB64" s="125">
        <v>0.44221879815100151</v>
      </c>
      <c r="BC64" s="126">
        <v>2</v>
      </c>
      <c r="BD64" s="126"/>
      <c r="BE64" s="126">
        <v>3</v>
      </c>
      <c r="BF64" s="126"/>
      <c r="BG64" s="126"/>
      <c r="BH64" s="126"/>
      <c r="BI64" s="126"/>
      <c r="BJ64" s="126"/>
      <c r="BK64" s="126"/>
      <c r="BL64" s="126"/>
      <c r="BM64" s="126">
        <v>1</v>
      </c>
      <c r="BN64" s="126"/>
      <c r="BO64" s="126">
        <v>4</v>
      </c>
      <c r="BP64" s="124" t="s">
        <v>7</v>
      </c>
      <c r="BQ64" s="119">
        <v>3221</v>
      </c>
      <c r="BR64" s="114">
        <v>0.31018875192604006</v>
      </c>
      <c r="BS64" s="119">
        <v>1371</v>
      </c>
      <c r="BT64" s="127">
        <v>0.13203004622496145</v>
      </c>
    </row>
    <row r="65" spans="1:72" ht="17.100000000000001" customHeight="1">
      <c r="A65" s="111" t="s">
        <v>280</v>
      </c>
      <c r="B65" s="112">
        <v>34379</v>
      </c>
      <c r="C65" s="113">
        <v>4107</v>
      </c>
      <c r="D65" s="114">
        <v>0.19307070327190673</v>
      </c>
      <c r="E65" s="115">
        <v>5222</v>
      </c>
      <c r="F65" s="114">
        <v>0.24548702519744264</v>
      </c>
      <c r="G65" s="113">
        <v>5162</v>
      </c>
      <c r="H65" s="114">
        <v>0.24266641594584432</v>
      </c>
      <c r="I65" s="113">
        <v>2622</v>
      </c>
      <c r="J65" s="114">
        <v>0.12326062429484769</v>
      </c>
      <c r="K65" s="113">
        <v>144</v>
      </c>
      <c r="L65" s="114">
        <v>6.7694622038360283E-3</v>
      </c>
      <c r="M65" s="113">
        <v>3337</v>
      </c>
      <c r="N65" s="114">
        <v>0.15687288454306131</v>
      </c>
      <c r="O65" s="113">
        <v>119</v>
      </c>
      <c r="P65" s="114">
        <v>5.594208349003385E-3</v>
      </c>
      <c r="Q65" s="113">
        <v>36</v>
      </c>
      <c r="R65" s="114">
        <v>1.6923655509590071E-3</v>
      </c>
      <c r="S65" s="113">
        <v>20</v>
      </c>
      <c r="T65" s="114">
        <v>9.4020308386611503E-4</v>
      </c>
      <c r="U65" s="116"/>
      <c r="V65" s="117"/>
      <c r="W65" s="113">
        <v>48</v>
      </c>
      <c r="X65" s="114">
        <v>2.2564874012786762E-3</v>
      </c>
      <c r="Y65" s="118"/>
      <c r="Z65" s="117"/>
      <c r="AA65" s="118"/>
      <c r="AB65" s="117"/>
      <c r="AC65" s="113">
        <v>13</v>
      </c>
      <c r="AD65" s="114">
        <v>6.1113200451297475E-4</v>
      </c>
      <c r="AE65" s="119">
        <v>20830</v>
      </c>
      <c r="AF65" s="114">
        <v>0.97922151184655881</v>
      </c>
      <c r="AG65" s="113">
        <v>442</v>
      </c>
      <c r="AH65" s="114">
        <v>2.0778488153441143E-2</v>
      </c>
      <c r="AI65" s="135">
        <v>21272</v>
      </c>
      <c r="AJ65" s="120">
        <v>0.6187498182029727</v>
      </c>
      <c r="AL65" s="121">
        <v>0</v>
      </c>
      <c r="AM65" s="120">
        <v>0</v>
      </c>
      <c r="AO65" s="121">
        <v>0</v>
      </c>
      <c r="AP65" s="120">
        <v>0</v>
      </c>
      <c r="AR65" s="122"/>
      <c r="AS65" s="117"/>
      <c r="AT65" s="123">
        <v>5589</v>
      </c>
      <c r="AU65" s="114">
        <v>0.26273975178638587</v>
      </c>
      <c r="AV65" s="116"/>
      <c r="AW65" s="117"/>
      <c r="AX65" s="116"/>
      <c r="AY65" s="117"/>
      <c r="AZ65" s="124" t="s">
        <v>203</v>
      </c>
      <c r="BA65" s="119">
        <v>5589</v>
      </c>
      <c r="BB65" s="125">
        <v>0.26273975178638587</v>
      </c>
      <c r="BC65" s="126">
        <v>3</v>
      </c>
      <c r="BD65" s="126"/>
      <c r="BE65" s="126">
        <v>2</v>
      </c>
      <c r="BF65" s="126">
        <v>5</v>
      </c>
      <c r="BG65" s="126"/>
      <c r="BH65" s="126">
        <v>4</v>
      </c>
      <c r="BI65" s="126"/>
      <c r="BJ65" s="126"/>
      <c r="BK65" s="126"/>
      <c r="BL65" s="126"/>
      <c r="BM65" s="126">
        <v>1</v>
      </c>
      <c r="BN65" s="126"/>
      <c r="BO65" s="126"/>
      <c r="BP65" s="124" t="s">
        <v>10</v>
      </c>
      <c r="BQ65" s="119">
        <v>5162</v>
      </c>
      <c r="BR65" s="114">
        <v>0.24266641594584432</v>
      </c>
      <c r="BS65" s="119">
        <v>427</v>
      </c>
      <c r="BT65" s="127">
        <v>2.0073335840541551E-2</v>
      </c>
    </row>
    <row r="66" spans="1:72" ht="17.100000000000001" customHeight="1">
      <c r="A66" s="111" t="s">
        <v>281</v>
      </c>
      <c r="B66" s="112">
        <v>149786</v>
      </c>
      <c r="C66" s="113">
        <v>21434</v>
      </c>
      <c r="D66" s="114">
        <v>0.23088274896321431</v>
      </c>
      <c r="E66" s="115">
        <v>44442</v>
      </c>
      <c r="F66" s="114">
        <v>0.47872031022782358</v>
      </c>
      <c r="G66" s="113">
        <v>4787</v>
      </c>
      <c r="H66" s="114">
        <v>5.1564603867075995E-2</v>
      </c>
      <c r="I66" s="113">
        <v>10979</v>
      </c>
      <c r="J66" s="114">
        <v>0.11826358593202994</v>
      </c>
      <c r="K66" s="113">
        <v>1729</v>
      </c>
      <c r="L66" s="114">
        <v>1.8624441212904616E-2</v>
      </c>
      <c r="M66" s="113">
        <v>987</v>
      </c>
      <c r="N66" s="114">
        <v>1.06317660365164E-2</v>
      </c>
      <c r="O66" s="113">
        <v>763</v>
      </c>
      <c r="P66" s="114">
        <v>8.2188829643992031E-3</v>
      </c>
      <c r="Q66" s="113">
        <v>387</v>
      </c>
      <c r="R66" s="114">
        <v>4.1686863790596218E-3</v>
      </c>
      <c r="S66" s="113">
        <v>203</v>
      </c>
      <c r="T66" s="114">
        <v>2.1866752841062098E-3</v>
      </c>
      <c r="U66" s="116"/>
      <c r="V66" s="117"/>
      <c r="W66" s="113">
        <v>971</v>
      </c>
      <c r="X66" s="114">
        <v>1.0459417245650885E-2</v>
      </c>
      <c r="Y66" s="113">
        <v>794</v>
      </c>
      <c r="Z66" s="114">
        <v>8.552808746701137E-3</v>
      </c>
      <c r="AA66" s="118"/>
      <c r="AB66" s="117"/>
      <c r="AC66" s="113">
        <v>115</v>
      </c>
      <c r="AD66" s="114">
        <v>1.2387569343458825E-3</v>
      </c>
      <c r="AE66" s="119">
        <v>87591</v>
      </c>
      <c r="AF66" s="114">
        <v>0.9435126837938278</v>
      </c>
      <c r="AG66" s="113">
        <v>3724</v>
      </c>
      <c r="AH66" s="139">
        <v>4.0114181073948402E-2</v>
      </c>
      <c r="AI66" s="119">
        <v>92835</v>
      </c>
      <c r="AJ66" s="140">
        <v>0.61978422549503964</v>
      </c>
      <c r="AL66" s="121">
        <v>1520</v>
      </c>
      <c r="AM66" s="120">
        <v>1.6373135132223837E-2</v>
      </c>
      <c r="AO66" s="121">
        <v>0</v>
      </c>
      <c r="AP66" s="120">
        <v>0</v>
      </c>
      <c r="AR66" s="122"/>
      <c r="AS66" s="117"/>
      <c r="AT66" s="123">
        <v>48495</v>
      </c>
      <c r="AU66" s="114">
        <v>0.52237841331394408</v>
      </c>
      <c r="AV66" s="119">
        <v>16560</v>
      </c>
      <c r="AW66" s="114">
        <v>0.17838099854580708</v>
      </c>
      <c r="AX66" s="116"/>
      <c r="AY66" s="117"/>
      <c r="AZ66" s="124" t="s">
        <v>203</v>
      </c>
      <c r="BA66" s="119">
        <v>48495</v>
      </c>
      <c r="BB66" s="125">
        <v>0.52237841331394408</v>
      </c>
      <c r="BC66" s="126">
        <v>2</v>
      </c>
      <c r="BD66" s="126"/>
      <c r="BE66" s="126"/>
      <c r="BF66" s="126"/>
      <c r="BG66" s="126"/>
      <c r="BH66" s="126">
        <v>4</v>
      </c>
      <c r="BI66" s="126"/>
      <c r="BJ66" s="126"/>
      <c r="BK66" s="126"/>
      <c r="BL66" s="126"/>
      <c r="BM66" s="126">
        <v>1</v>
      </c>
      <c r="BN66" s="126">
        <v>3</v>
      </c>
      <c r="BO66" s="126"/>
      <c r="BP66" s="124" t="s">
        <v>7</v>
      </c>
      <c r="BQ66" s="119">
        <v>21434</v>
      </c>
      <c r="BR66" s="128">
        <v>0.23088274896321431</v>
      </c>
      <c r="BS66" s="119">
        <v>27061</v>
      </c>
      <c r="BT66" s="127">
        <v>0.29149566435072977</v>
      </c>
    </row>
    <row r="67" spans="1:72" ht="17.100000000000001" customHeight="1">
      <c r="A67" s="111" t="s">
        <v>282</v>
      </c>
      <c r="B67" s="112">
        <v>7560</v>
      </c>
      <c r="C67" s="113">
        <v>864</v>
      </c>
      <c r="D67" s="114">
        <v>0.18461538461538463</v>
      </c>
      <c r="E67" s="115">
        <v>1651</v>
      </c>
      <c r="F67" s="114">
        <v>0.3527777777777778</v>
      </c>
      <c r="G67" s="113">
        <v>76</v>
      </c>
      <c r="H67" s="114">
        <v>1.6239316239316241E-2</v>
      </c>
      <c r="I67" s="113">
        <v>667</v>
      </c>
      <c r="J67" s="114">
        <v>0.14252136752136751</v>
      </c>
      <c r="K67" s="113">
        <v>35</v>
      </c>
      <c r="L67" s="114">
        <v>7.478632478632479E-3</v>
      </c>
      <c r="M67" s="113">
        <v>1199</v>
      </c>
      <c r="N67" s="114">
        <v>0.25619658119658117</v>
      </c>
      <c r="O67" s="113">
        <v>7</v>
      </c>
      <c r="P67" s="114">
        <v>1.4957264957264958E-3</v>
      </c>
      <c r="Q67" s="113">
        <v>7</v>
      </c>
      <c r="R67" s="114">
        <v>1.4957264957264958E-3</v>
      </c>
      <c r="S67" s="113">
        <v>1</v>
      </c>
      <c r="T67" s="114">
        <v>2.1367521367521368E-4</v>
      </c>
      <c r="U67" s="113">
        <v>61</v>
      </c>
      <c r="V67" s="114">
        <v>1.3034188034188035E-2</v>
      </c>
      <c r="W67" s="113">
        <v>11</v>
      </c>
      <c r="X67" s="114">
        <v>2.3504273504273503E-3</v>
      </c>
      <c r="Y67" s="113">
        <v>18</v>
      </c>
      <c r="Z67" s="114">
        <v>3.8461538461538464E-3</v>
      </c>
      <c r="AA67" s="118"/>
      <c r="AB67" s="117"/>
      <c r="AC67" s="113">
        <v>4</v>
      </c>
      <c r="AD67" s="114">
        <v>8.547008547008547E-4</v>
      </c>
      <c r="AE67" s="119">
        <v>4601</v>
      </c>
      <c r="AF67" s="114">
        <v>0.98311965811965807</v>
      </c>
      <c r="AG67" s="113">
        <v>79</v>
      </c>
      <c r="AH67" s="114">
        <v>1.6880341880341879E-2</v>
      </c>
      <c r="AI67" s="143">
        <v>4680</v>
      </c>
      <c r="AJ67" s="120">
        <v>0.61904761904761907</v>
      </c>
      <c r="AL67" s="121">
        <v>0</v>
      </c>
      <c r="AM67" s="120">
        <v>0</v>
      </c>
      <c r="AO67" s="121">
        <v>0</v>
      </c>
      <c r="AP67" s="120">
        <v>0</v>
      </c>
      <c r="AR67" s="112">
        <v>2124</v>
      </c>
      <c r="AS67" s="114">
        <v>0.45384615384615384</v>
      </c>
      <c r="AT67" s="123">
        <v>1712</v>
      </c>
      <c r="AU67" s="114">
        <v>0.36581196581196579</v>
      </c>
      <c r="AV67" s="119">
        <v>761</v>
      </c>
      <c r="AW67" s="114">
        <v>0.16260683760683761</v>
      </c>
      <c r="AX67" s="116"/>
      <c r="AY67" s="117"/>
      <c r="AZ67" s="124" t="s">
        <v>283</v>
      </c>
      <c r="BA67" s="119">
        <v>2124</v>
      </c>
      <c r="BB67" s="125">
        <v>0.45384615384615384</v>
      </c>
      <c r="BC67" s="126"/>
      <c r="BD67" s="126"/>
      <c r="BE67" s="126"/>
      <c r="BF67" s="126"/>
      <c r="BG67" s="126"/>
      <c r="BH67" s="126"/>
      <c r="BI67" s="126"/>
      <c r="BJ67" s="126"/>
      <c r="BK67" s="126"/>
      <c r="BL67" s="126">
        <v>1</v>
      </c>
      <c r="BM67" s="126">
        <v>2</v>
      </c>
      <c r="BN67" s="126">
        <v>3</v>
      </c>
      <c r="BO67" s="126"/>
      <c r="BP67" s="124" t="s">
        <v>203</v>
      </c>
      <c r="BQ67" s="119">
        <v>1712</v>
      </c>
      <c r="BR67" s="114">
        <v>0.36581196581196579</v>
      </c>
      <c r="BS67" s="119">
        <v>412</v>
      </c>
      <c r="BT67" s="127">
        <v>8.8034188034188054E-2</v>
      </c>
    </row>
    <row r="68" spans="1:72" ht="17.100000000000001" customHeight="1">
      <c r="A68" s="111" t="s">
        <v>284</v>
      </c>
      <c r="B68" s="112">
        <v>18056</v>
      </c>
      <c r="C68" s="113">
        <v>538</v>
      </c>
      <c r="D68" s="114">
        <v>4.4276191259978601E-2</v>
      </c>
      <c r="E68" s="115">
        <v>5317</v>
      </c>
      <c r="F68" s="114">
        <v>0.43757715414369186</v>
      </c>
      <c r="G68" s="113">
        <v>258</v>
      </c>
      <c r="H68" s="114">
        <v>2.1232820344004609E-2</v>
      </c>
      <c r="I68" s="113">
        <v>320</v>
      </c>
      <c r="J68" s="114">
        <v>2.6335281046827422E-2</v>
      </c>
      <c r="K68" s="113">
        <v>61</v>
      </c>
      <c r="L68" s="114">
        <v>5.0201629495514773E-3</v>
      </c>
      <c r="M68" s="113">
        <v>4932</v>
      </c>
      <c r="N68" s="114">
        <v>0.40589251913422764</v>
      </c>
      <c r="O68" s="113">
        <v>57</v>
      </c>
      <c r="P68" s="114">
        <v>4.6909719364661342E-3</v>
      </c>
      <c r="Q68" s="113">
        <v>28</v>
      </c>
      <c r="R68" s="114">
        <v>2.3043370915973994E-3</v>
      </c>
      <c r="S68" s="113">
        <v>11</v>
      </c>
      <c r="T68" s="114">
        <v>9.0527528598469261E-4</v>
      </c>
      <c r="U68" s="116"/>
      <c r="V68" s="117"/>
      <c r="W68" s="113">
        <v>88</v>
      </c>
      <c r="X68" s="114">
        <v>7.2422022878775409E-3</v>
      </c>
      <c r="Y68" s="118"/>
      <c r="Z68" s="117"/>
      <c r="AA68" s="118"/>
      <c r="AB68" s="117"/>
      <c r="AC68" s="113">
        <v>17</v>
      </c>
      <c r="AD68" s="114">
        <v>1.3990618056127068E-3</v>
      </c>
      <c r="AE68" s="119">
        <v>11627</v>
      </c>
      <c r="AF68" s="114">
        <v>0.95687597728582008</v>
      </c>
      <c r="AG68" s="113">
        <v>524</v>
      </c>
      <c r="AH68" s="114">
        <v>4.3124022714179901E-2</v>
      </c>
      <c r="AI68" s="119">
        <v>12151</v>
      </c>
      <c r="AJ68" s="120">
        <v>0.6729618963225521</v>
      </c>
      <c r="AL68" s="121">
        <v>0</v>
      </c>
      <c r="AM68" s="120">
        <v>0</v>
      </c>
      <c r="AO68" s="121">
        <v>0</v>
      </c>
      <c r="AP68" s="120">
        <v>0</v>
      </c>
      <c r="AR68" s="122"/>
      <c r="AS68" s="117"/>
      <c r="AT68" s="123">
        <v>5562</v>
      </c>
      <c r="AU68" s="114">
        <v>0.4577401036951691</v>
      </c>
      <c r="AV68" s="116"/>
      <c r="AW68" s="117"/>
      <c r="AX68" s="116"/>
      <c r="AY68" s="117"/>
      <c r="AZ68" s="124" t="s">
        <v>203</v>
      </c>
      <c r="BA68" s="119">
        <v>5562</v>
      </c>
      <c r="BB68" s="125">
        <v>0.4577401036951691</v>
      </c>
      <c r="BC68" s="126">
        <v>3</v>
      </c>
      <c r="BD68" s="126"/>
      <c r="BE68" s="126">
        <v>5</v>
      </c>
      <c r="BF68" s="126">
        <v>4</v>
      </c>
      <c r="BG68" s="126"/>
      <c r="BH68" s="126">
        <v>2</v>
      </c>
      <c r="BI68" s="126"/>
      <c r="BJ68" s="126"/>
      <c r="BK68" s="126"/>
      <c r="BL68" s="126"/>
      <c r="BM68" s="126">
        <v>1</v>
      </c>
      <c r="BN68" s="126"/>
      <c r="BO68" s="126"/>
      <c r="BP68" s="124" t="s">
        <v>199</v>
      </c>
      <c r="BQ68" s="119">
        <v>4932</v>
      </c>
      <c r="BR68" s="114">
        <v>0.40589251913422764</v>
      </c>
      <c r="BS68" s="119">
        <v>630</v>
      </c>
      <c r="BT68" s="127">
        <v>5.1847584560941462E-2</v>
      </c>
    </row>
    <row r="69" spans="1:72" ht="17.100000000000001" customHeight="1">
      <c r="A69" s="111" t="s">
        <v>285</v>
      </c>
      <c r="B69" s="112">
        <v>670366</v>
      </c>
      <c r="C69" s="113">
        <v>107526</v>
      </c>
      <c r="D69" s="114">
        <v>0.34286752888956912</v>
      </c>
      <c r="E69" s="115">
        <v>134854</v>
      </c>
      <c r="F69" s="114">
        <v>0.43000816305706485</v>
      </c>
      <c r="G69" s="113">
        <v>16671</v>
      </c>
      <c r="H69" s="114">
        <v>5.315872044080508E-2</v>
      </c>
      <c r="I69" s="113">
        <v>9213</v>
      </c>
      <c r="J69" s="114">
        <v>2.9377439351036962E-2</v>
      </c>
      <c r="K69" s="113">
        <v>10236</v>
      </c>
      <c r="L69" s="114">
        <v>3.2639473482819314E-2</v>
      </c>
      <c r="M69" s="113">
        <v>3883</v>
      </c>
      <c r="N69" s="114">
        <v>1.2381699446442693E-2</v>
      </c>
      <c r="O69" s="113">
        <v>3382</v>
      </c>
      <c r="P69" s="114">
        <v>1.0784163669294151E-2</v>
      </c>
      <c r="Q69" s="113">
        <v>2068</v>
      </c>
      <c r="R69" s="114">
        <v>6.5942195352159385E-3</v>
      </c>
      <c r="S69" s="113">
        <v>889</v>
      </c>
      <c r="T69" s="114">
        <v>2.8347491135430219E-3</v>
      </c>
      <c r="U69" s="116"/>
      <c r="V69" s="117"/>
      <c r="W69" s="113">
        <v>2779</v>
      </c>
      <c r="X69" s="114">
        <v>8.8613810872171621E-3</v>
      </c>
      <c r="Y69" s="118"/>
      <c r="Z69" s="117"/>
      <c r="AA69" s="118"/>
      <c r="AB69" s="117"/>
      <c r="AC69" s="113">
        <v>685</v>
      </c>
      <c r="AD69" s="114">
        <v>2.1842555036861305E-3</v>
      </c>
      <c r="AE69" s="119">
        <v>292186</v>
      </c>
      <c r="AF69" s="114">
        <v>0.93169179357669452</v>
      </c>
      <c r="AG69" s="113">
        <v>21422</v>
      </c>
      <c r="AH69" s="114">
        <v>6.8308206423305526E-2</v>
      </c>
      <c r="AI69" s="119">
        <v>313608</v>
      </c>
      <c r="AJ69" s="120">
        <v>0.46781608852477602</v>
      </c>
      <c r="AL69" s="121">
        <v>0</v>
      </c>
      <c r="AM69" s="120">
        <v>0</v>
      </c>
      <c r="AO69" s="121">
        <v>0</v>
      </c>
      <c r="AP69" s="120">
        <v>0</v>
      </c>
      <c r="AR69" s="122"/>
      <c r="AS69" s="117"/>
      <c r="AT69" s="123">
        <v>154208</v>
      </c>
      <c r="AU69" s="114">
        <v>0.49172214994515445</v>
      </c>
      <c r="AV69" s="116"/>
      <c r="AW69" s="117"/>
      <c r="AX69" s="116"/>
      <c r="AY69" s="117"/>
      <c r="AZ69" s="124" t="s">
        <v>203</v>
      </c>
      <c r="BA69" s="119">
        <v>154208</v>
      </c>
      <c r="BB69" s="125">
        <v>0.49172214994515445</v>
      </c>
      <c r="BC69" s="126">
        <v>2</v>
      </c>
      <c r="BD69" s="126"/>
      <c r="BE69" s="126">
        <v>3</v>
      </c>
      <c r="BF69" s="126">
        <v>4</v>
      </c>
      <c r="BG69" s="126"/>
      <c r="BH69" s="126">
        <v>5</v>
      </c>
      <c r="BI69" s="126"/>
      <c r="BJ69" s="126"/>
      <c r="BK69" s="126"/>
      <c r="BL69" s="126"/>
      <c r="BM69" s="126">
        <v>1</v>
      </c>
      <c r="BN69" s="126"/>
      <c r="BO69" s="126"/>
      <c r="BP69" s="124" t="s">
        <v>7</v>
      </c>
      <c r="BQ69" s="119">
        <v>107526</v>
      </c>
      <c r="BR69" s="114">
        <v>0.34286752888956912</v>
      </c>
      <c r="BS69" s="119">
        <v>46682</v>
      </c>
      <c r="BT69" s="127">
        <v>0.14885462105558533</v>
      </c>
    </row>
    <row r="70" spans="1:72" ht="17.100000000000001" customHeight="1">
      <c r="A70" s="111" t="s">
        <v>286</v>
      </c>
      <c r="B70" s="112">
        <v>14695</v>
      </c>
      <c r="C70" s="113">
        <v>2161</v>
      </c>
      <c r="D70" s="114">
        <v>0.23928690067545122</v>
      </c>
      <c r="E70" s="115">
        <v>2476</v>
      </c>
      <c r="F70" s="114">
        <v>0.274166758941424</v>
      </c>
      <c r="G70" s="113">
        <v>886</v>
      </c>
      <c r="H70" s="114">
        <v>9.8106521979847192E-2</v>
      </c>
      <c r="I70" s="113">
        <v>725</v>
      </c>
      <c r="J70" s="114">
        <v>8.0279038866127778E-2</v>
      </c>
      <c r="K70" s="113">
        <v>67</v>
      </c>
      <c r="L70" s="114">
        <v>7.4188904883180154E-3</v>
      </c>
      <c r="M70" s="113">
        <v>1958</v>
      </c>
      <c r="N70" s="114">
        <v>0.21680876979293545</v>
      </c>
      <c r="O70" s="133">
        <v>39</v>
      </c>
      <c r="P70" s="114">
        <v>4.3184586424537706E-3</v>
      </c>
      <c r="Q70" s="133">
        <v>11</v>
      </c>
      <c r="R70" s="114">
        <v>1.2180267965895249E-3</v>
      </c>
      <c r="S70" s="113">
        <v>6</v>
      </c>
      <c r="T70" s="114">
        <v>6.6437825268519544E-4</v>
      </c>
      <c r="U70" s="116"/>
      <c r="V70" s="117"/>
      <c r="W70" s="113">
        <v>48</v>
      </c>
      <c r="X70" s="114">
        <v>5.3150260214815635E-3</v>
      </c>
      <c r="Y70" s="118"/>
      <c r="Z70" s="117"/>
      <c r="AA70" s="113">
        <v>183</v>
      </c>
      <c r="AB70" s="114">
        <v>2.0263536706898462E-2</v>
      </c>
      <c r="AC70" s="113">
        <v>2</v>
      </c>
      <c r="AD70" s="114">
        <v>2.2145941756173182E-4</v>
      </c>
      <c r="AE70" s="119">
        <v>8562</v>
      </c>
      <c r="AF70" s="114">
        <v>0.94806776658177394</v>
      </c>
      <c r="AG70" s="113">
        <v>469</v>
      </c>
      <c r="AH70" s="114">
        <v>5.1932233418226108E-2</v>
      </c>
      <c r="AI70" s="135">
        <v>9031</v>
      </c>
      <c r="AJ70" s="120">
        <v>0.61456277645457635</v>
      </c>
      <c r="AL70" s="121">
        <v>0</v>
      </c>
      <c r="AM70" s="120">
        <v>0</v>
      </c>
      <c r="AO70" s="121">
        <v>0</v>
      </c>
      <c r="AP70" s="120">
        <v>0</v>
      </c>
      <c r="AR70" s="122"/>
      <c r="AS70" s="117"/>
      <c r="AT70" s="123">
        <v>2647</v>
      </c>
      <c r="AU70" s="114">
        <v>0.29310153914295206</v>
      </c>
      <c r="AV70" s="116"/>
      <c r="AW70" s="117"/>
      <c r="AX70" s="119">
        <v>2866</v>
      </c>
      <c r="AY70" s="114">
        <v>0.31735134536596171</v>
      </c>
      <c r="AZ70" s="124" t="s">
        <v>287</v>
      </c>
      <c r="BA70" s="119">
        <v>2866</v>
      </c>
      <c r="BB70" s="125">
        <v>0.31735134536596171</v>
      </c>
      <c r="BC70" s="126">
        <v>3</v>
      </c>
      <c r="BD70" s="126"/>
      <c r="BE70" s="126">
        <v>4</v>
      </c>
      <c r="BF70" s="126"/>
      <c r="BG70" s="126"/>
      <c r="BH70" s="126"/>
      <c r="BI70" s="126"/>
      <c r="BJ70" s="126"/>
      <c r="BK70" s="126"/>
      <c r="BL70" s="126"/>
      <c r="BM70" s="126">
        <v>2</v>
      </c>
      <c r="BN70" s="126"/>
      <c r="BO70" s="126">
        <v>1</v>
      </c>
      <c r="BP70" s="124" t="s">
        <v>203</v>
      </c>
      <c r="BQ70" s="119">
        <v>2647</v>
      </c>
      <c r="BR70" s="114">
        <v>0.29310153914295206</v>
      </c>
      <c r="BS70" s="119">
        <v>219</v>
      </c>
      <c r="BT70" s="127">
        <v>2.4249806223009651E-2</v>
      </c>
    </row>
    <row r="71" spans="1:72" ht="17.100000000000001" customHeight="1">
      <c r="A71" s="111" t="s">
        <v>288</v>
      </c>
      <c r="B71" s="112">
        <v>906803</v>
      </c>
      <c r="C71" s="113">
        <v>37866</v>
      </c>
      <c r="D71" s="114">
        <v>9.859011911735989E-2</v>
      </c>
      <c r="E71" s="115">
        <v>132267</v>
      </c>
      <c r="F71" s="114">
        <v>0.34437805116188247</v>
      </c>
      <c r="G71" s="113">
        <v>105495</v>
      </c>
      <c r="H71" s="114">
        <v>0.27467291544620193</v>
      </c>
      <c r="I71" s="113">
        <v>15867</v>
      </c>
      <c r="J71" s="114">
        <v>4.1312243702401871E-2</v>
      </c>
      <c r="K71" s="113">
        <v>25194</v>
      </c>
      <c r="L71" s="114">
        <v>6.5596563171255617E-2</v>
      </c>
      <c r="M71" s="113">
        <v>17394</v>
      </c>
      <c r="N71" s="139">
        <v>4.5288029681702792E-2</v>
      </c>
      <c r="O71" s="113">
        <v>8986</v>
      </c>
      <c r="P71" s="137">
        <v>2.3396472043220724E-2</v>
      </c>
      <c r="Q71" s="113">
        <v>3552</v>
      </c>
      <c r="R71" s="138">
        <v>9.2481937121655922E-3</v>
      </c>
      <c r="S71" s="113">
        <v>1217</v>
      </c>
      <c r="T71" s="114">
        <v>3.1686519559981775E-3</v>
      </c>
      <c r="U71" s="116"/>
      <c r="V71" s="117"/>
      <c r="W71" s="113">
        <v>1171</v>
      </c>
      <c r="X71" s="114">
        <v>3.0488836815726096E-3</v>
      </c>
      <c r="Y71" s="113">
        <v>2338</v>
      </c>
      <c r="Z71" s="114">
        <v>6.087352730586474E-3</v>
      </c>
      <c r="AA71" s="118"/>
      <c r="AB71" s="117"/>
      <c r="AC71" s="113">
        <v>539</v>
      </c>
      <c r="AD71" s="114">
        <v>1.4033717372908937E-3</v>
      </c>
      <c r="AE71" s="119">
        <v>351886</v>
      </c>
      <c r="AF71" s="114">
        <v>0.91619084814163898</v>
      </c>
      <c r="AG71" s="113">
        <v>22684</v>
      </c>
      <c r="AH71" s="139">
        <v>5.9061381240643106E-2</v>
      </c>
      <c r="AI71" s="119">
        <v>384075</v>
      </c>
      <c r="AJ71" s="140">
        <v>0.42354844436994582</v>
      </c>
      <c r="AL71" s="121">
        <v>9505</v>
      </c>
      <c r="AM71" s="120">
        <v>2.4747770617717893E-2</v>
      </c>
      <c r="AO71" s="121">
        <v>0</v>
      </c>
      <c r="AP71" s="120">
        <v>0</v>
      </c>
      <c r="AR71" s="122"/>
      <c r="AS71" s="117"/>
      <c r="AT71" s="123">
        <v>172387</v>
      </c>
      <c r="AU71" s="114">
        <v>0.44883681572609518</v>
      </c>
      <c r="AV71" s="119">
        <v>123700</v>
      </c>
      <c r="AW71" s="114">
        <v>0.32207251187919028</v>
      </c>
      <c r="AX71" s="116"/>
      <c r="AY71" s="117"/>
      <c r="AZ71" s="124" t="s">
        <v>203</v>
      </c>
      <c r="BA71" s="119">
        <v>172387</v>
      </c>
      <c r="BB71" s="125">
        <v>0.44883681572609518</v>
      </c>
      <c r="BC71" s="126">
        <v>3</v>
      </c>
      <c r="BD71" s="126"/>
      <c r="BE71" s="126"/>
      <c r="BF71" s="126"/>
      <c r="BG71" s="126"/>
      <c r="BH71" s="126">
        <v>4</v>
      </c>
      <c r="BI71" s="126"/>
      <c r="BJ71" s="126"/>
      <c r="BK71" s="126"/>
      <c r="BL71" s="126"/>
      <c r="BM71" s="126">
        <v>1</v>
      </c>
      <c r="BN71" s="126">
        <v>2</v>
      </c>
      <c r="BO71" s="126"/>
      <c r="BP71" s="124" t="s">
        <v>30</v>
      </c>
      <c r="BQ71" s="119">
        <v>123700</v>
      </c>
      <c r="BR71" s="128">
        <v>0.32207251187919028</v>
      </c>
      <c r="BS71" s="119">
        <v>48687</v>
      </c>
      <c r="BT71" s="127">
        <v>0.1267643038469049</v>
      </c>
    </row>
    <row r="72" spans="1:72" ht="17.100000000000001" customHeight="1">
      <c r="A72" s="111" t="s">
        <v>289</v>
      </c>
      <c r="B72" s="112">
        <v>224108</v>
      </c>
      <c r="C72" s="113">
        <v>14944</v>
      </c>
      <c r="D72" s="114">
        <v>0.13720035622148163</v>
      </c>
      <c r="E72" s="115">
        <v>51675</v>
      </c>
      <c r="F72" s="114">
        <v>0.47442641914782274</v>
      </c>
      <c r="G72" s="113">
        <v>26573</v>
      </c>
      <c r="H72" s="114">
        <v>0.24396581008253687</v>
      </c>
      <c r="I72" s="113">
        <v>2799</v>
      </c>
      <c r="J72" s="114">
        <v>2.569752389346407E-2</v>
      </c>
      <c r="K72" s="113">
        <v>2891</v>
      </c>
      <c r="L72" s="114">
        <v>2.6542172767418586E-2</v>
      </c>
      <c r="M72" s="113">
        <v>1389</v>
      </c>
      <c r="N72" s="114">
        <v>1.2752361803508964E-2</v>
      </c>
      <c r="O72" s="141">
        <v>1900</v>
      </c>
      <c r="P72" s="114">
        <v>1.7443835440365034E-2</v>
      </c>
      <c r="Q72" s="141">
        <v>571</v>
      </c>
      <c r="R72" s="114">
        <v>5.2423315981307552E-3</v>
      </c>
      <c r="S72" s="113">
        <v>542</v>
      </c>
      <c r="T72" s="114">
        <v>4.9760835835146577E-3</v>
      </c>
      <c r="U72" s="116"/>
      <c r="V72" s="117"/>
      <c r="W72" s="113">
        <v>795</v>
      </c>
      <c r="X72" s="114">
        <v>7.2988679868895802E-3</v>
      </c>
      <c r="Y72" s="118"/>
      <c r="Z72" s="117"/>
      <c r="AA72" s="118"/>
      <c r="AB72" s="117"/>
      <c r="AC72" s="113">
        <v>85</v>
      </c>
      <c r="AD72" s="114">
        <v>7.8038211180580424E-4</v>
      </c>
      <c r="AE72" s="119">
        <v>104164</v>
      </c>
      <c r="AF72" s="114">
        <v>0.95632614463693866</v>
      </c>
      <c r="AG72" s="113">
        <v>4757</v>
      </c>
      <c r="AH72" s="114">
        <v>4.3673855363061301E-2</v>
      </c>
      <c r="AI72" s="143">
        <v>108921</v>
      </c>
      <c r="AJ72" s="120">
        <v>0.48602013315008835</v>
      </c>
      <c r="AL72" s="121">
        <v>0</v>
      </c>
      <c r="AM72" s="120">
        <v>0</v>
      </c>
      <c r="AO72" s="121">
        <v>0</v>
      </c>
      <c r="AP72" s="120">
        <v>0</v>
      </c>
      <c r="AR72" s="122"/>
      <c r="AS72" s="117"/>
      <c r="AT72" s="123">
        <v>58374</v>
      </c>
      <c r="AU72" s="114">
        <v>0.5359297105241414</v>
      </c>
      <c r="AV72" s="116"/>
      <c r="AW72" s="117"/>
      <c r="AX72" s="116"/>
      <c r="AY72" s="117"/>
      <c r="AZ72" s="124" t="s">
        <v>203</v>
      </c>
      <c r="BA72" s="119">
        <v>58374</v>
      </c>
      <c r="BB72" s="125">
        <v>0.5359297105241414</v>
      </c>
      <c r="BC72" s="126">
        <v>3</v>
      </c>
      <c r="BD72" s="126"/>
      <c r="BE72" s="126">
        <v>2</v>
      </c>
      <c r="BF72" s="126">
        <v>4</v>
      </c>
      <c r="BG72" s="126"/>
      <c r="BH72" s="126">
        <v>5</v>
      </c>
      <c r="BI72" s="126"/>
      <c r="BJ72" s="126"/>
      <c r="BK72" s="126"/>
      <c r="BL72" s="126"/>
      <c r="BM72" s="126">
        <v>1</v>
      </c>
      <c r="BN72" s="126"/>
      <c r="BO72" s="126"/>
      <c r="BP72" s="124" t="s">
        <v>10</v>
      </c>
      <c r="BQ72" s="119">
        <v>26573</v>
      </c>
      <c r="BR72" s="114">
        <v>0.24396581008253687</v>
      </c>
      <c r="BS72" s="119">
        <v>31801</v>
      </c>
      <c r="BT72" s="127">
        <v>0.29196390044160453</v>
      </c>
    </row>
    <row r="73" spans="1:72" ht="17.100000000000001" customHeight="1">
      <c r="A73" s="111" t="s">
        <v>290</v>
      </c>
      <c r="B73" s="112">
        <v>5907</v>
      </c>
      <c r="C73" s="113">
        <v>2392</v>
      </c>
      <c r="D73" s="114">
        <v>0.50347295306251316</v>
      </c>
      <c r="E73" s="115">
        <v>2036</v>
      </c>
      <c r="F73" s="114">
        <v>0.42854135971374446</v>
      </c>
      <c r="G73" s="113">
        <v>75</v>
      </c>
      <c r="H73" s="114">
        <v>1.5786150284150705E-2</v>
      </c>
      <c r="I73" s="113">
        <v>28</v>
      </c>
      <c r="J73" s="114">
        <v>5.8934961060829296E-3</v>
      </c>
      <c r="K73" s="113">
        <v>14</v>
      </c>
      <c r="L73" s="114">
        <v>2.9467480530414648E-3</v>
      </c>
      <c r="M73" s="113">
        <v>68</v>
      </c>
      <c r="N73" s="114">
        <v>1.4312776257629972E-2</v>
      </c>
      <c r="O73" s="113">
        <v>9</v>
      </c>
      <c r="P73" s="114">
        <v>1.8943380340980846E-3</v>
      </c>
      <c r="Q73" s="113">
        <v>1</v>
      </c>
      <c r="R73" s="114">
        <v>2.1048200378867606E-4</v>
      </c>
      <c r="S73" s="113">
        <v>1</v>
      </c>
      <c r="T73" s="114">
        <v>2.1048200378867606E-4</v>
      </c>
      <c r="U73" s="116"/>
      <c r="V73" s="117"/>
      <c r="W73" s="113">
        <v>17</v>
      </c>
      <c r="X73" s="114">
        <v>3.578194064407493E-3</v>
      </c>
      <c r="Y73" s="113">
        <v>3</v>
      </c>
      <c r="Z73" s="114">
        <v>6.3144601136602815E-4</v>
      </c>
      <c r="AA73" s="118"/>
      <c r="AB73" s="117"/>
      <c r="AC73" s="113">
        <v>2</v>
      </c>
      <c r="AD73" s="114">
        <v>4.2096400757735212E-4</v>
      </c>
      <c r="AE73" s="119">
        <v>4646</v>
      </c>
      <c r="AF73" s="114">
        <v>0.97789938960218903</v>
      </c>
      <c r="AG73" s="113">
        <v>105</v>
      </c>
      <c r="AH73" s="114">
        <v>2.2100610397810989E-2</v>
      </c>
      <c r="AI73" s="119">
        <v>4751</v>
      </c>
      <c r="AJ73" s="120">
        <v>0.80429998307093276</v>
      </c>
      <c r="AL73" s="121">
        <v>0</v>
      </c>
      <c r="AM73" s="120">
        <v>0</v>
      </c>
      <c r="AO73" s="121">
        <v>0</v>
      </c>
      <c r="AP73" s="120">
        <v>0</v>
      </c>
      <c r="AR73" s="122"/>
      <c r="AS73" s="117"/>
      <c r="AT73" s="123">
        <v>2078</v>
      </c>
      <c r="AU73" s="114">
        <v>0.4373816038728689</v>
      </c>
      <c r="AV73" s="119">
        <v>106</v>
      </c>
      <c r="AW73" s="114">
        <v>2.2311092401599664E-2</v>
      </c>
      <c r="AX73" s="116"/>
      <c r="AY73" s="117"/>
      <c r="AZ73" s="124" t="s">
        <v>7</v>
      </c>
      <c r="BA73" s="119">
        <v>2392</v>
      </c>
      <c r="BB73" s="125">
        <v>0.50347295306251316</v>
      </c>
      <c r="BC73" s="126">
        <v>1</v>
      </c>
      <c r="BD73" s="126"/>
      <c r="BE73" s="126"/>
      <c r="BF73" s="126"/>
      <c r="BG73" s="126"/>
      <c r="BH73" s="126">
        <v>4</v>
      </c>
      <c r="BI73" s="126"/>
      <c r="BJ73" s="126"/>
      <c r="BK73" s="126"/>
      <c r="BL73" s="126"/>
      <c r="BM73" s="126">
        <v>2</v>
      </c>
      <c r="BN73" s="126">
        <v>3</v>
      </c>
      <c r="BO73" s="126"/>
      <c r="BP73" s="124" t="s">
        <v>203</v>
      </c>
      <c r="BQ73" s="119">
        <v>2078</v>
      </c>
      <c r="BR73" s="128">
        <v>0.4373816038728689</v>
      </c>
      <c r="BS73" s="119">
        <v>314</v>
      </c>
      <c r="BT73" s="127">
        <v>6.6091349189644266E-2</v>
      </c>
    </row>
    <row r="74" spans="1:72" ht="17.100000000000001" customHeight="1">
      <c r="A74" s="111" t="s">
        <v>291</v>
      </c>
      <c r="B74" s="112">
        <v>37237</v>
      </c>
      <c r="C74" s="113">
        <v>2566</v>
      </c>
      <c r="D74" s="114">
        <v>0.10991647033626044</v>
      </c>
      <c r="E74" s="115">
        <v>4798</v>
      </c>
      <c r="F74" s="114">
        <v>0.20552580852430927</v>
      </c>
      <c r="G74" s="113">
        <v>6814</v>
      </c>
      <c r="H74" s="114">
        <v>0.29188263011351467</v>
      </c>
      <c r="I74" s="113">
        <v>1869</v>
      </c>
      <c r="J74" s="114">
        <v>8.0059970014992501E-2</v>
      </c>
      <c r="K74" s="113">
        <v>274</v>
      </c>
      <c r="L74" s="114">
        <v>1.1736988648532877E-2</v>
      </c>
      <c r="M74" s="113">
        <v>5544</v>
      </c>
      <c r="N74" s="114">
        <v>0.23748125937031483</v>
      </c>
      <c r="O74" s="113">
        <v>91</v>
      </c>
      <c r="P74" s="114">
        <v>3.8980509745127436E-3</v>
      </c>
      <c r="Q74" s="113">
        <v>81</v>
      </c>
      <c r="R74" s="114">
        <v>3.4696937245662883E-3</v>
      </c>
      <c r="S74" s="113">
        <v>53</v>
      </c>
      <c r="T74" s="114">
        <v>2.2702934247162132E-3</v>
      </c>
      <c r="U74" s="116"/>
      <c r="V74" s="117"/>
      <c r="W74" s="113">
        <v>57</v>
      </c>
      <c r="X74" s="114">
        <v>2.4416363246947954E-3</v>
      </c>
      <c r="Y74" s="118"/>
      <c r="Z74" s="117"/>
      <c r="AA74" s="118"/>
      <c r="AB74" s="117"/>
      <c r="AC74" s="113">
        <v>26</v>
      </c>
      <c r="AD74" s="114">
        <v>1.113728849860784E-3</v>
      </c>
      <c r="AE74" s="119">
        <v>22173</v>
      </c>
      <c r="AF74" s="114">
        <v>0.94979653030627542</v>
      </c>
      <c r="AG74" s="113">
        <v>852</v>
      </c>
      <c r="AH74" s="114">
        <v>3.6496037695437994E-2</v>
      </c>
      <c r="AI74" s="119">
        <v>23345</v>
      </c>
      <c r="AJ74" s="120">
        <v>0.62693020382952436</v>
      </c>
      <c r="AL74" s="121">
        <v>320</v>
      </c>
      <c r="AM74" s="120">
        <v>1.3707431998286571E-2</v>
      </c>
      <c r="AO74" s="121">
        <v>0</v>
      </c>
      <c r="AP74" s="120">
        <v>0</v>
      </c>
      <c r="AR74" s="122"/>
      <c r="AS74" s="117"/>
      <c r="AT74" s="123">
        <v>5354</v>
      </c>
      <c r="AU74" s="114">
        <v>0.2293424716213322</v>
      </c>
      <c r="AV74" s="116"/>
      <c r="AW74" s="117"/>
      <c r="AX74" s="116"/>
      <c r="AY74" s="117"/>
      <c r="AZ74" s="124" t="s">
        <v>10</v>
      </c>
      <c r="BA74" s="119">
        <v>6814</v>
      </c>
      <c r="BB74" s="125">
        <v>0.29188263011351467</v>
      </c>
      <c r="BC74" s="126">
        <v>4</v>
      </c>
      <c r="BD74" s="126"/>
      <c r="BE74" s="126">
        <v>1</v>
      </c>
      <c r="BF74" s="126">
        <v>5</v>
      </c>
      <c r="BG74" s="126"/>
      <c r="BH74" s="126">
        <v>2</v>
      </c>
      <c r="BI74" s="126"/>
      <c r="BJ74" s="126"/>
      <c r="BK74" s="126"/>
      <c r="BL74" s="126"/>
      <c r="BM74" s="126">
        <v>3</v>
      </c>
      <c r="BN74" s="126"/>
      <c r="BO74" s="126"/>
      <c r="BP74" s="124" t="s">
        <v>199</v>
      </c>
      <c r="BQ74" s="119">
        <v>5544</v>
      </c>
      <c r="BR74" s="114">
        <v>0.23748125937031483</v>
      </c>
      <c r="BS74" s="119">
        <v>1270</v>
      </c>
      <c r="BT74" s="127">
        <v>5.4401370743199839E-2</v>
      </c>
    </row>
    <row r="75" spans="1:72" ht="17.100000000000001" customHeight="1">
      <c r="A75" s="111" t="s">
        <v>292</v>
      </c>
      <c r="B75" s="112">
        <v>16680</v>
      </c>
      <c r="C75" s="113">
        <v>615</v>
      </c>
      <c r="D75" s="114">
        <v>5.3947368421052633E-2</v>
      </c>
      <c r="E75" s="115">
        <v>5534</v>
      </c>
      <c r="F75" s="114">
        <v>0.48543859649122806</v>
      </c>
      <c r="G75" s="113">
        <v>4608</v>
      </c>
      <c r="H75" s="114">
        <v>0.40421052631578946</v>
      </c>
      <c r="I75" s="113">
        <v>99</v>
      </c>
      <c r="J75" s="114">
        <v>8.6842105263157891E-3</v>
      </c>
      <c r="K75" s="113">
        <v>35</v>
      </c>
      <c r="L75" s="114">
        <v>3.0701754385964912E-3</v>
      </c>
      <c r="M75" s="118"/>
      <c r="N75" s="118"/>
      <c r="O75" s="113">
        <v>9</v>
      </c>
      <c r="P75" s="114">
        <v>7.894736842105263E-4</v>
      </c>
      <c r="Q75" s="113">
        <v>7</v>
      </c>
      <c r="R75" s="114">
        <v>6.1403508771929827E-4</v>
      </c>
      <c r="S75" s="113">
        <v>3</v>
      </c>
      <c r="T75" s="114">
        <v>2.631578947368421E-4</v>
      </c>
      <c r="U75" s="116"/>
      <c r="V75" s="117"/>
      <c r="W75" s="113">
        <v>93</v>
      </c>
      <c r="X75" s="114">
        <v>8.1578947368421053E-3</v>
      </c>
      <c r="Y75" s="118"/>
      <c r="Z75" s="117"/>
      <c r="AA75" s="118"/>
      <c r="AB75" s="117"/>
      <c r="AC75" s="113">
        <v>1</v>
      </c>
      <c r="AD75" s="114">
        <v>8.7719298245614029E-5</v>
      </c>
      <c r="AE75" s="119">
        <v>11004</v>
      </c>
      <c r="AF75" s="114">
        <v>0.96526315789473682</v>
      </c>
      <c r="AG75" s="113">
        <v>396</v>
      </c>
      <c r="AH75" s="114">
        <v>3.4736842105263156E-2</v>
      </c>
      <c r="AI75" s="119">
        <v>11400</v>
      </c>
      <c r="AJ75" s="120">
        <v>0.68345323741007191</v>
      </c>
      <c r="AL75" s="121">
        <v>0</v>
      </c>
      <c r="AM75" s="120">
        <v>0</v>
      </c>
      <c r="AO75" s="121">
        <v>0</v>
      </c>
      <c r="AP75" s="120">
        <v>0</v>
      </c>
      <c r="AR75" s="122"/>
      <c r="AS75" s="117"/>
      <c r="AT75" s="123">
        <v>5681</v>
      </c>
      <c r="AU75" s="114">
        <v>0.49833333333333335</v>
      </c>
      <c r="AV75" s="116"/>
      <c r="AW75" s="117"/>
      <c r="AX75" s="116"/>
      <c r="AY75" s="117"/>
      <c r="AZ75" s="124" t="s">
        <v>203</v>
      </c>
      <c r="BA75" s="119">
        <v>5681</v>
      </c>
      <c r="BB75" s="125">
        <v>0.49833333333333335</v>
      </c>
      <c r="BC75" s="126">
        <v>3</v>
      </c>
      <c r="BD75" s="126"/>
      <c r="BE75" s="126">
        <v>2</v>
      </c>
      <c r="BF75" s="126">
        <v>4</v>
      </c>
      <c r="BG75" s="126"/>
      <c r="BH75" s="126"/>
      <c r="BI75" s="126"/>
      <c r="BJ75" s="126"/>
      <c r="BK75" s="126"/>
      <c r="BL75" s="126"/>
      <c r="BM75" s="126">
        <v>1</v>
      </c>
      <c r="BN75" s="126"/>
      <c r="BO75" s="126"/>
      <c r="BP75" s="124" t="s">
        <v>10</v>
      </c>
      <c r="BQ75" s="119">
        <v>4608</v>
      </c>
      <c r="BR75" s="114">
        <v>0.40421052631578946</v>
      </c>
      <c r="BS75" s="119">
        <v>1073</v>
      </c>
      <c r="BT75" s="127">
        <v>9.4122807017543886E-2</v>
      </c>
    </row>
    <row r="76" spans="1:72" ht="17.100000000000001" customHeight="1">
      <c r="A76" s="111" t="s">
        <v>293</v>
      </c>
      <c r="B76" s="112">
        <v>21058</v>
      </c>
      <c r="C76" s="113">
        <v>5558</v>
      </c>
      <c r="D76" s="114">
        <v>0.39407260351673284</v>
      </c>
      <c r="E76" s="115">
        <v>5855</v>
      </c>
      <c r="F76" s="114">
        <v>0.41513045944412935</v>
      </c>
      <c r="G76" s="113">
        <v>1122</v>
      </c>
      <c r="H76" s="114">
        <v>7.9551900170164488E-2</v>
      </c>
      <c r="I76" s="113">
        <v>141</v>
      </c>
      <c r="J76" s="114">
        <v>9.9971639251276237E-3</v>
      </c>
      <c r="K76" s="113">
        <v>97</v>
      </c>
      <c r="L76" s="114">
        <v>6.8774815655133293E-3</v>
      </c>
      <c r="M76" s="113">
        <v>272</v>
      </c>
      <c r="N76" s="114">
        <v>1.9285309132161088E-2</v>
      </c>
      <c r="O76" s="113">
        <v>188</v>
      </c>
      <c r="P76" s="114">
        <v>1.3329551900170164E-2</v>
      </c>
      <c r="Q76" s="113">
        <v>36</v>
      </c>
      <c r="R76" s="114">
        <v>2.5524673851389677E-3</v>
      </c>
      <c r="S76" s="113">
        <v>10</v>
      </c>
      <c r="T76" s="114">
        <v>7.0901871809415766E-4</v>
      </c>
      <c r="U76" s="116"/>
      <c r="V76" s="117"/>
      <c r="W76" s="113">
        <v>220</v>
      </c>
      <c r="X76" s="114">
        <v>1.559841179807147E-2</v>
      </c>
      <c r="Y76" s="118"/>
      <c r="Z76" s="117"/>
      <c r="AA76" s="118"/>
      <c r="AB76" s="117"/>
      <c r="AC76" s="113">
        <v>23</v>
      </c>
      <c r="AD76" s="114">
        <v>1.6307430516165626E-3</v>
      </c>
      <c r="AE76" s="119">
        <v>13522</v>
      </c>
      <c r="AF76" s="114">
        <v>0.95873511060692007</v>
      </c>
      <c r="AG76" s="113">
        <v>582</v>
      </c>
      <c r="AH76" s="114">
        <v>4.1264889393079977E-2</v>
      </c>
      <c r="AI76" s="119">
        <v>14104</v>
      </c>
      <c r="AJ76" s="120">
        <v>0.66976920885174285</v>
      </c>
      <c r="AL76" s="121">
        <v>0</v>
      </c>
      <c r="AM76" s="120">
        <v>0</v>
      </c>
      <c r="AO76" s="121">
        <v>0</v>
      </c>
      <c r="AP76" s="120">
        <v>0</v>
      </c>
      <c r="AR76" s="122"/>
      <c r="AS76" s="117"/>
      <c r="AT76" s="123">
        <v>6406</v>
      </c>
      <c r="AU76" s="114">
        <v>0.45419739081111743</v>
      </c>
      <c r="AV76" s="116"/>
      <c r="AW76" s="117"/>
      <c r="AX76" s="116"/>
      <c r="AY76" s="117"/>
      <c r="AZ76" s="124" t="s">
        <v>203</v>
      </c>
      <c r="BA76" s="119">
        <v>6406</v>
      </c>
      <c r="BB76" s="125">
        <v>0.45419739081111743</v>
      </c>
      <c r="BC76" s="126">
        <v>2</v>
      </c>
      <c r="BD76" s="126"/>
      <c r="BE76" s="126">
        <v>3</v>
      </c>
      <c r="BF76" s="126">
        <v>5</v>
      </c>
      <c r="BG76" s="126"/>
      <c r="BH76" s="126">
        <v>4</v>
      </c>
      <c r="BI76" s="126"/>
      <c r="BJ76" s="126"/>
      <c r="BK76" s="126"/>
      <c r="BL76" s="126"/>
      <c r="BM76" s="126">
        <v>1</v>
      </c>
      <c r="BN76" s="126"/>
      <c r="BO76" s="126"/>
      <c r="BP76" s="124" t="s">
        <v>7</v>
      </c>
      <c r="BQ76" s="119">
        <v>5558</v>
      </c>
      <c r="BR76" s="114">
        <v>0.39407260351673284</v>
      </c>
      <c r="BS76" s="119">
        <v>848</v>
      </c>
      <c r="BT76" s="127">
        <v>6.0124787294384585E-2</v>
      </c>
    </row>
    <row r="77" spans="1:72" ht="17.100000000000001" customHeight="1">
      <c r="A77" s="111" t="s">
        <v>294</v>
      </c>
      <c r="B77" s="112">
        <v>20968</v>
      </c>
      <c r="C77" s="113">
        <v>3656</v>
      </c>
      <c r="D77" s="114">
        <v>0.26162873908687562</v>
      </c>
      <c r="E77" s="115">
        <v>5125</v>
      </c>
      <c r="F77" s="114">
        <v>0.36675254043223127</v>
      </c>
      <c r="G77" s="113">
        <v>4232</v>
      </c>
      <c r="H77" s="114">
        <v>0.30284814655789322</v>
      </c>
      <c r="I77" s="113">
        <v>167</v>
      </c>
      <c r="J77" s="114">
        <v>1.1950765707742951E-2</v>
      </c>
      <c r="K77" s="113">
        <v>47</v>
      </c>
      <c r="L77" s="114">
        <v>3.3633891512809505E-3</v>
      </c>
      <c r="M77" s="113">
        <v>217</v>
      </c>
      <c r="N77" s="114">
        <v>1.5528839272935451E-2</v>
      </c>
      <c r="O77" s="113">
        <v>15</v>
      </c>
      <c r="P77" s="114">
        <v>1.0734220695577501E-3</v>
      </c>
      <c r="Q77" s="113">
        <v>21</v>
      </c>
      <c r="R77" s="114">
        <v>1.5027908973808501E-3</v>
      </c>
      <c r="S77" s="113">
        <v>7</v>
      </c>
      <c r="T77" s="114">
        <v>5.0093029912695001E-4</v>
      </c>
      <c r="U77" s="116"/>
      <c r="V77" s="117"/>
      <c r="W77" s="113">
        <v>67</v>
      </c>
      <c r="X77" s="114">
        <v>4.7946185773579501E-3</v>
      </c>
      <c r="Y77" s="118"/>
      <c r="Z77" s="117"/>
      <c r="AA77" s="118"/>
      <c r="AB77" s="117"/>
      <c r="AC77" s="113">
        <v>16</v>
      </c>
      <c r="AD77" s="114">
        <v>1.1449835408616001E-3</v>
      </c>
      <c r="AE77" s="119">
        <v>13570</v>
      </c>
      <c r="AF77" s="114">
        <v>0.97108916559324465</v>
      </c>
      <c r="AG77" s="113">
        <v>404</v>
      </c>
      <c r="AH77" s="114">
        <v>2.8910834406755404E-2</v>
      </c>
      <c r="AI77" s="119">
        <v>13974</v>
      </c>
      <c r="AJ77" s="120">
        <v>0.66644410530331932</v>
      </c>
      <c r="AL77" s="121">
        <v>0</v>
      </c>
      <c r="AM77" s="120">
        <v>0</v>
      </c>
      <c r="AO77" s="121">
        <v>0</v>
      </c>
      <c r="AP77" s="120">
        <v>0</v>
      </c>
      <c r="AR77" s="122"/>
      <c r="AS77" s="117"/>
      <c r="AT77" s="123">
        <v>5282</v>
      </c>
      <c r="AU77" s="114">
        <v>0.37798769142693572</v>
      </c>
      <c r="AV77" s="116"/>
      <c r="AW77" s="117"/>
      <c r="AX77" s="116"/>
      <c r="AY77" s="117"/>
      <c r="AZ77" s="124" t="s">
        <v>203</v>
      </c>
      <c r="BA77" s="119">
        <v>5282</v>
      </c>
      <c r="BB77" s="125">
        <v>0.37798769142693572</v>
      </c>
      <c r="BC77" s="126">
        <v>3</v>
      </c>
      <c r="BD77" s="126"/>
      <c r="BE77" s="126">
        <v>2</v>
      </c>
      <c r="BF77" s="126">
        <v>5</v>
      </c>
      <c r="BG77" s="126"/>
      <c r="BH77" s="126">
        <v>4</v>
      </c>
      <c r="BI77" s="126"/>
      <c r="BJ77" s="126"/>
      <c r="BK77" s="126"/>
      <c r="BL77" s="126"/>
      <c r="BM77" s="126">
        <v>1</v>
      </c>
      <c r="BN77" s="126"/>
      <c r="BO77" s="126"/>
      <c r="BP77" s="124" t="s">
        <v>10</v>
      </c>
      <c r="BQ77" s="119">
        <v>4232</v>
      </c>
      <c r="BR77" s="114">
        <v>0.30284814655789322</v>
      </c>
      <c r="BS77" s="119">
        <v>1050</v>
      </c>
      <c r="BT77" s="127">
        <v>7.5139544869042507E-2</v>
      </c>
    </row>
    <row r="78" spans="1:72" ht="17.100000000000001" customHeight="1">
      <c r="A78" s="111" t="s">
        <v>295</v>
      </c>
      <c r="B78" s="112">
        <v>3799</v>
      </c>
      <c r="C78" s="113">
        <v>180</v>
      </c>
      <c r="D78" s="114">
        <v>6.3025210084033612E-2</v>
      </c>
      <c r="E78" s="115">
        <v>1467</v>
      </c>
      <c r="F78" s="114">
        <v>0.5136554621848739</v>
      </c>
      <c r="G78" s="113">
        <v>1112</v>
      </c>
      <c r="H78" s="114">
        <v>0.38935574229691877</v>
      </c>
      <c r="I78" s="113">
        <v>11</v>
      </c>
      <c r="J78" s="114">
        <v>3.8515406162464988E-3</v>
      </c>
      <c r="K78" s="113">
        <v>4</v>
      </c>
      <c r="L78" s="114">
        <v>1.4005602240896359E-3</v>
      </c>
      <c r="M78" s="118"/>
      <c r="N78" s="118"/>
      <c r="O78" s="113">
        <v>15</v>
      </c>
      <c r="P78" s="114">
        <v>5.2521008403361349E-3</v>
      </c>
      <c r="Q78" s="113">
        <v>3</v>
      </c>
      <c r="R78" s="114">
        <v>1.0504201680672268E-3</v>
      </c>
      <c r="S78" s="113">
        <v>0</v>
      </c>
      <c r="T78" s="114">
        <v>0</v>
      </c>
      <c r="U78" s="116"/>
      <c r="V78" s="117"/>
      <c r="W78" s="113">
        <v>8</v>
      </c>
      <c r="X78" s="114">
        <v>2.8011204481792717E-3</v>
      </c>
      <c r="Y78" s="113">
        <v>15</v>
      </c>
      <c r="Z78" s="114">
        <v>5.2521008403361349E-3</v>
      </c>
      <c r="AA78" s="118"/>
      <c r="AB78" s="117"/>
      <c r="AC78" s="113">
        <v>1</v>
      </c>
      <c r="AD78" s="114">
        <v>3.5014005602240897E-4</v>
      </c>
      <c r="AE78" s="119">
        <v>2816</v>
      </c>
      <c r="AF78" s="114">
        <v>0.98599439775910369</v>
      </c>
      <c r="AG78" s="113">
        <v>40</v>
      </c>
      <c r="AH78" s="114">
        <v>1.4005602240896359E-2</v>
      </c>
      <c r="AI78" s="119">
        <v>2856</v>
      </c>
      <c r="AJ78" s="120">
        <v>0.75177678336404319</v>
      </c>
      <c r="AL78" s="121">
        <v>0</v>
      </c>
      <c r="AM78" s="120">
        <v>0</v>
      </c>
      <c r="AO78" s="121">
        <v>0</v>
      </c>
      <c r="AP78" s="120">
        <v>0</v>
      </c>
      <c r="AR78" s="122"/>
      <c r="AS78" s="117"/>
      <c r="AT78" s="123">
        <v>1497</v>
      </c>
      <c r="AU78" s="114">
        <v>0.52415966386554624</v>
      </c>
      <c r="AV78" s="119">
        <v>1138</v>
      </c>
      <c r="AW78" s="114">
        <v>0.39845938375350143</v>
      </c>
      <c r="AX78" s="116"/>
      <c r="AY78" s="117"/>
      <c r="AZ78" s="124" t="s">
        <v>203</v>
      </c>
      <c r="BA78" s="119">
        <v>1497</v>
      </c>
      <c r="BB78" s="125">
        <v>0.52415966386554624</v>
      </c>
      <c r="BC78" s="126">
        <v>3</v>
      </c>
      <c r="BD78" s="126"/>
      <c r="BE78" s="126"/>
      <c r="BF78" s="126"/>
      <c r="BG78" s="126"/>
      <c r="BH78" s="126"/>
      <c r="BI78" s="126"/>
      <c r="BJ78" s="126"/>
      <c r="BK78" s="126"/>
      <c r="BL78" s="126"/>
      <c r="BM78" s="126">
        <v>1</v>
      </c>
      <c r="BN78" s="126">
        <v>2</v>
      </c>
      <c r="BO78" s="126"/>
      <c r="BP78" s="124" t="s">
        <v>30</v>
      </c>
      <c r="BQ78" s="119">
        <v>1138</v>
      </c>
      <c r="BR78" s="128">
        <v>0.39845938375350143</v>
      </c>
      <c r="BS78" s="119">
        <v>359</v>
      </c>
      <c r="BT78" s="127">
        <v>0.12570028011204482</v>
      </c>
    </row>
    <row r="79" spans="1:72" ht="17.100000000000001" customHeight="1">
      <c r="A79" s="111" t="s">
        <v>296</v>
      </c>
      <c r="B79" s="112">
        <v>43140</v>
      </c>
      <c r="C79" s="113">
        <v>3850</v>
      </c>
      <c r="D79" s="114">
        <v>0.14452494463005369</v>
      </c>
      <c r="E79" s="115">
        <v>8744</v>
      </c>
      <c r="F79" s="114">
        <v>0.32824054957017906</v>
      </c>
      <c r="G79" s="113">
        <v>5054</v>
      </c>
      <c r="H79" s="114">
        <v>0.18972183640527046</v>
      </c>
      <c r="I79" s="113">
        <v>5384</v>
      </c>
      <c r="J79" s="114">
        <v>0.2021096888021322</v>
      </c>
      <c r="K79" s="113">
        <v>267</v>
      </c>
      <c r="L79" s="114">
        <v>1.0022898757460865E-2</v>
      </c>
      <c r="M79" s="113">
        <v>1737</v>
      </c>
      <c r="N79" s="114">
        <v>6.5205150343481358E-2</v>
      </c>
      <c r="O79" s="113">
        <v>343</v>
      </c>
      <c r="P79" s="114">
        <v>1.2875858703404783E-2</v>
      </c>
      <c r="Q79" s="113">
        <v>98</v>
      </c>
      <c r="R79" s="114">
        <v>3.6788167724013665E-3</v>
      </c>
      <c r="S79" s="113">
        <v>146</v>
      </c>
      <c r="T79" s="114">
        <v>5.4806862119448924E-3</v>
      </c>
      <c r="U79" s="116"/>
      <c r="V79" s="117"/>
      <c r="W79" s="113">
        <v>94</v>
      </c>
      <c r="X79" s="114">
        <v>3.5286609857727393E-3</v>
      </c>
      <c r="Y79" s="118"/>
      <c r="Z79" s="117"/>
      <c r="AA79" s="118"/>
      <c r="AB79" s="117"/>
      <c r="AC79" s="113">
        <v>11</v>
      </c>
      <c r="AD79" s="114">
        <v>4.129284132287248E-4</v>
      </c>
      <c r="AE79" s="119">
        <v>25728</v>
      </c>
      <c r="AF79" s="114">
        <v>0.96580201959533019</v>
      </c>
      <c r="AG79" s="113">
        <v>911</v>
      </c>
      <c r="AH79" s="114">
        <v>3.4197980404669842E-2</v>
      </c>
      <c r="AI79" s="119">
        <v>26639</v>
      </c>
      <c r="AJ79" s="120">
        <v>0.61750115901715341</v>
      </c>
      <c r="AL79" s="121">
        <v>0</v>
      </c>
      <c r="AM79" s="120">
        <v>0</v>
      </c>
      <c r="AO79" s="121">
        <v>0</v>
      </c>
      <c r="AP79" s="120">
        <v>0</v>
      </c>
      <c r="AR79" s="122"/>
      <c r="AS79" s="117"/>
      <c r="AT79" s="123">
        <v>9692</v>
      </c>
      <c r="AU79" s="114">
        <v>0.36382747100116369</v>
      </c>
      <c r="AV79" s="116"/>
      <c r="AW79" s="117"/>
      <c r="AX79" s="116"/>
      <c r="AY79" s="117"/>
      <c r="AZ79" s="124" t="s">
        <v>203</v>
      </c>
      <c r="BA79" s="119">
        <v>9692</v>
      </c>
      <c r="BB79" s="125">
        <v>0.36382747100116369</v>
      </c>
      <c r="BC79" s="126">
        <v>4</v>
      </c>
      <c r="BD79" s="126"/>
      <c r="BE79" s="126">
        <v>3</v>
      </c>
      <c r="BF79" s="126">
        <v>2</v>
      </c>
      <c r="BG79" s="126"/>
      <c r="BH79" s="126">
        <v>5</v>
      </c>
      <c r="BI79" s="126"/>
      <c r="BJ79" s="126"/>
      <c r="BK79" s="126"/>
      <c r="BL79" s="126"/>
      <c r="BM79" s="126">
        <v>1</v>
      </c>
      <c r="BN79" s="126"/>
      <c r="BO79" s="126"/>
      <c r="BP79" s="124" t="s">
        <v>11</v>
      </c>
      <c r="BQ79" s="119">
        <v>5384</v>
      </c>
      <c r="BR79" s="114">
        <v>0.2021096888021322</v>
      </c>
      <c r="BS79" s="119">
        <v>4308</v>
      </c>
      <c r="BT79" s="127">
        <v>0.16171778219903149</v>
      </c>
    </row>
    <row r="80" spans="1:72" ht="17.100000000000001" customHeight="1">
      <c r="A80" s="111" t="s">
        <v>297</v>
      </c>
      <c r="B80" s="112">
        <v>17360</v>
      </c>
      <c r="C80" s="113">
        <v>1968</v>
      </c>
      <c r="D80" s="114">
        <v>0.18631070718545867</v>
      </c>
      <c r="E80" s="115">
        <v>3751</v>
      </c>
      <c r="F80" s="114">
        <v>0.3551074505348859</v>
      </c>
      <c r="G80" s="113">
        <v>1412</v>
      </c>
      <c r="H80" s="114">
        <v>0.13367414560257504</v>
      </c>
      <c r="I80" s="113">
        <v>1191</v>
      </c>
      <c r="J80" s="114">
        <v>0.11275205907412666</v>
      </c>
      <c r="K80" s="113">
        <v>72</v>
      </c>
      <c r="L80" s="114">
        <v>6.8162453848338543E-3</v>
      </c>
      <c r="M80" s="113">
        <v>1489</v>
      </c>
      <c r="N80" s="114">
        <v>0.14096374136135567</v>
      </c>
      <c r="O80" s="113">
        <v>61</v>
      </c>
      <c r="P80" s="114">
        <v>5.7748745621509041E-3</v>
      </c>
      <c r="Q80" s="113">
        <v>29</v>
      </c>
      <c r="R80" s="114">
        <v>2.7454321688914133E-3</v>
      </c>
      <c r="S80" s="113">
        <v>12</v>
      </c>
      <c r="T80" s="114">
        <v>1.136040897472309E-3</v>
      </c>
      <c r="U80" s="116"/>
      <c r="V80" s="117"/>
      <c r="W80" s="113">
        <v>74</v>
      </c>
      <c r="X80" s="114">
        <v>7.0055855344125723E-3</v>
      </c>
      <c r="Y80" s="118"/>
      <c r="Z80" s="117"/>
      <c r="AA80" s="118"/>
      <c r="AB80" s="117"/>
      <c r="AC80" s="113">
        <v>8</v>
      </c>
      <c r="AD80" s="114">
        <v>7.5736059831487269E-4</v>
      </c>
      <c r="AE80" s="119">
        <v>10067</v>
      </c>
      <c r="AF80" s="114">
        <v>0.95304364290447785</v>
      </c>
      <c r="AG80" s="113">
        <v>496</v>
      </c>
      <c r="AH80" s="114">
        <v>4.6956357095522108E-2</v>
      </c>
      <c r="AI80" s="119">
        <v>10563</v>
      </c>
      <c r="AJ80" s="120">
        <v>0.60846774193548392</v>
      </c>
      <c r="AL80" s="121">
        <v>0</v>
      </c>
      <c r="AM80" s="120">
        <v>0</v>
      </c>
      <c r="AO80" s="121">
        <v>0</v>
      </c>
      <c r="AP80" s="120">
        <v>0</v>
      </c>
      <c r="AR80" s="122"/>
      <c r="AS80" s="117"/>
      <c r="AT80" s="123">
        <v>3999</v>
      </c>
      <c r="AU80" s="114">
        <v>0.37858562908264698</v>
      </c>
      <c r="AV80" s="116"/>
      <c r="AW80" s="117"/>
      <c r="AX80" s="116"/>
      <c r="AY80" s="117"/>
      <c r="AZ80" s="124" t="s">
        <v>203</v>
      </c>
      <c r="BA80" s="119">
        <v>3999</v>
      </c>
      <c r="BB80" s="125">
        <v>0.37858562908264698</v>
      </c>
      <c r="BC80" s="126">
        <v>2</v>
      </c>
      <c r="BD80" s="126"/>
      <c r="BE80" s="126">
        <v>4</v>
      </c>
      <c r="BF80" s="126">
        <v>5</v>
      </c>
      <c r="BG80" s="126"/>
      <c r="BH80" s="126">
        <v>3</v>
      </c>
      <c r="BI80" s="126"/>
      <c r="BJ80" s="126"/>
      <c r="BK80" s="126"/>
      <c r="BL80" s="126"/>
      <c r="BM80" s="126">
        <v>1</v>
      </c>
      <c r="BN80" s="126"/>
      <c r="BO80" s="126"/>
      <c r="BP80" s="124" t="s">
        <v>7</v>
      </c>
      <c r="BQ80" s="119">
        <v>1968</v>
      </c>
      <c r="BR80" s="114">
        <v>0.18631070718545867</v>
      </c>
      <c r="BS80" s="119">
        <v>2031</v>
      </c>
      <c r="BT80" s="127">
        <v>0.19227492189718831</v>
      </c>
    </row>
    <row r="81" spans="1:72" ht="17.100000000000001" customHeight="1">
      <c r="A81" s="111" t="s">
        <v>298</v>
      </c>
      <c r="B81" s="112">
        <v>3027</v>
      </c>
      <c r="C81" s="113">
        <v>644</v>
      </c>
      <c r="D81" s="114">
        <v>0.28000000000000003</v>
      </c>
      <c r="E81" s="115">
        <v>1057</v>
      </c>
      <c r="F81" s="114">
        <v>0.45956521739130435</v>
      </c>
      <c r="G81" s="113">
        <v>342</v>
      </c>
      <c r="H81" s="114">
        <v>0.14869565217391303</v>
      </c>
      <c r="I81" s="113">
        <v>7</v>
      </c>
      <c r="J81" s="114">
        <v>3.0434782608695652E-3</v>
      </c>
      <c r="K81" s="113">
        <v>9</v>
      </c>
      <c r="L81" s="114">
        <v>3.9130434782608699E-3</v>
      </c>
      <c r="M81" s="113">
        <v>170</v>
      </c>
      <c r="N81" s="114">
        <v>7.3913043478260873E-2</v>
      </c>
      <c r="O81" s="113">
        <v>2</v>
      </c>
      <c r="P81" s="114">
        <v>8.6956521739130438E-4</v>
      </c>
      <c r="Q81" s="113">
        <v>6</v>
      </c>
      <c r="R81" s="114">
        <v>2.6086956521739132E-3</v>
      </c>
      <c r="S81" s="113">
        <v>6</v>
      </c>
      <c r="T81" s="114">
        <v>2.6086956521739132E-3</v>
      </c>
      <c r="U81" s="116"/>
      <c r="V81" s="117"/>
      <c r="W81" s="113">
        <v>2</v>
      </c>
      <c r="X81" s="114">
        <v>8.6956521739130438E-4</v>
      </c>
      <c r="Y81" s="113">
        <v>2</v>
      </c>
      <c r="Z81" s="114">
        <v>8.6956521739130438E-4</v>
      </c>
      <c r="AA81" s="118"/>
      <c r="AB81" s="117"/>
      <c r="AC81" s="113">
        <v>0</v>
      </c>
      <c r="AD81" s="114">
        <v>0</v>
      </c>
      <c r="AE81" s="119">
        <v>2247</v>
      </c>
      <c r="AF81" s="114">
        <v>0.97695652173913039</v>
      </c>
      <c r="AG81" s="113">
        <v>53</v>
      </c>
      <c r="AH81" s="114">
        <v>2.3043478260869565E-2</v>
      </c>
      <c r="AI81" s="119">
        <v>2300</v>
      </c>
      <c r="AJ81" s="120">
        <v>0.7598282127518996</v>
      </c>
      <c r="AL81" s="121">
        <v>0</v>
      </c>
      <c r="AM81" s="120">
        <v>0</v>
      </c>
      <c r="AO81" s="121">
        <v>0</v>
      </c>
      <c r="AP81" s="120">
        <v>0</v>
      </c>
      <c r="AR81" s="122"/>
      <c r="AS81" s="117"/>
      <c r="AT81" s="123">
        <v>1082</v>
      </c>
      <c r="AU81" s="114">
        <v>0.47043478260869565</v>
      </c>
      <c r="AV81" s="119">
        <v>351</v>
      </c>
      <c r="AW81" s="114">
        <v>0.15260869565217391</v>
      </c>
      <c r="AX81" s="116"/>
      <c r="AY81" s="117"/>
      <c r="AZ81" s="124" t="s">
        <v>203</v>
      </c>
      <c r="BA81" s="119">
        <v>1082</v>
      </c>
      <c r="BB81" s="125">
        <v>0.47043478260869565</v>
      </c>
      <c r="BC81" s="126">
        <v>2</v>
      </c>
      <c r="BD81" s="126"/>
      <c r="BE81" s="126"/>
      <c r="BF81" s="126"/>
      <c r="BG81" s="126"/>
      <c r="BH81" s="126">
        <v>4</v>
      </c>
      <c r="BI81" s="126"/>
      <c r="BJ81" s="126"/>
      <c r="BK81" s="126"/>
      <c r="BL81" s="126"/>
      <c r="BM81" s="126">
        <v>1</v>
      </c>
      <c r="BN81" s="126">
        <v>3</v>
      </c>
      <c r="BO81" s="126"/>
      <c r="BP81" s="124" t="s">
        <v>7</v>
      </c>
      <c r="BQ81" s="119">
        <v>644</v>
      </c>
      <c r="BR81" s="128">
        <v>0.28000000000000003</v>
      </c>
      <c r="BS81" s="119">
        <v>438</v>
      </c>
      <c r="BT81" s="127">
        <v>0.19043478260869562</v>
      </c>
    </row>
    <row r="82" spans="1:72" ht="17.100000000000001" customHeight="1">
      <c r="A82" s="111" t="s">
        <v>299</v>
      </c>
      <c r="B82" s="112">
        <v>139867</v>
      </c>
      <c r="C82" s="113">
        <v>2466</v>
      </c>
      <c r="D82" s="114">
        <v>3.5413226107560855E-2</v>
      </c>
      <c r="E82" s="115">
        <v>35027</v>
      </c>
      <c r="F82" s="114">
        <v>0.50300854455374455</v>
      </c>
      <c r="G82" s="113">
        <v>17741</v>
      </c>
      <c r="H82" s="114">
        <v>0.25477130753213184</v>
      </c>
      <c r="I82" s="113">
        <v>1654</v>
      </c>
      <c r="J82" s="114">
        <v>2.3752423350326703E-2</v>
      </c>
      <c r="K82" s="113">
        <v>1577</v>
      </c>
      <c r="L82" s="114">
        <v>2.2646657571623464E-2</v>
      </c>
      <c r="M82" s="113">
        <v>2658</v>
      </c>
      <c r="N82" s="114">
        <v>3.8170460257054645E-2</v>
      </c>
      <c r="O82" s="113">
        <v>915</v>
      </c>
      <c r="P82" s="114">
        <v>1.3139943993681338E-2</v>
      </c>
      <c r="Q82" s="113">
        <v>615</v>
      </c>
      <c r="R82" s="114">
        <v>8.8317656350972926E-3</v>
      </c>
      <c r="S82" s="113">
        <v>318</v>
      </c>
      <c r="T82" s="114">
        <v>4.5666690600990878E-3</v>
      </c>
      <c r="U82" s="116"/>
      <c r="V82" s="117"/>
      <c r="W82" s="113">
        <v>1112</v>
      </c>
      <c r="X82" s="114">
        <v>1.5968981115818195E-2</v>
      </c>
      <c r="Y82" s="118"/>
      <c r="Z82" s="117"/>
      <c r="AA82" s="118"/>
      <c r="AB82" s="117"/>
      <c r="AC82" s="113">
        <v>89</v>
      </c>
      <c r="AD82" s="114">
        <v>1.2780929130466001E-3</v>
      </c>
      <c r="AE82" s="119">
        <v>64172</v>
      </c>
      <c r="AF82" s="114">
        <v>0.92154807209018452</v>
      </c>
      <c r="AG82" s="113">
        <v>2999</v>
      </c>
      <c r="AH82" s="114">
        <v>4.3067422991311839E-2</v>
      </c>
      <c r="AI82" s="119">
        <v>69635</v>
      </c>
      <c r="AJ82" s="120">
        <v>0.49786582968105414</v>
      </c>
      <c r="AL82" s="121">
        <v>2464</v>
      </c>
      <c r="AM82" s="120">
        <v>3.5384504918503625E-2</v>
      </c>
      <c r="AO82" s="121">
        <v>0</v>
      </c>
      <c r="AP82" s="120">
        <v>0</v>
      </c>
      <c r="AR82" s="122"/>
      <c r="AS82" s="117"/>
      <c r="AT82" s="123">
        <v>39564</v>
      </c>
      <c r="AU82" s="114">
        <v>0.56816256193006387</v>
      </c>
      <c r="AV82" s="116"/>
      <c r="AW82" s="117"/>
      <c r="AX82" s="116"/>
      <c r="AY82" s="117"/>
      <c r="AZ82" s="124" t="s">
        <v>203</v>
      </c>
      <c r="BA82" s="119">
        <v>39564</v>
      </c>
      <c r="BB82" s="125">
        <v>0.56816256193006387</v>
      </c>
      <c r="BC82" s="126">
        <v>4</v>
      </c>
      <c r="BD82" s="126"/>
      <c r="BE82" s="126">
        <v>2</v>
      </c>
      <c r="BF82" s="126">
        <v>5</v>
      </c>
      <c r="BG82" s="126"/>
      <c r="BH82" s="126">
        <v>3</v>
      </c>
      <c r="BI82" s="126"/>
      <c r="BJ82" s="126"/>
      <c r="BK82" s="126"/>
      <c r="BL82" s="126"/>
      <c r="BM82" s="126">
        <v>1</v>
      </c>
      <c r="BN82" s="126"/>
      <c r="BO82" s="126"/>
      <c r="BP82" s="124" t="s">
        <v>10</v>
      </c>
      <c r="BQ82" s="119">
        <v>17741</v>
      </c>
      <c r="BR82" s="114">
        <v>0.25477130753213184</v>
      </c>
      <c r="BS82" s="119">
        <v>21823</v>
      </c>
      <c r="BT82" s="127">
        <v>0.31339125439793203</v>
      </c>
    </row>
    <row r="83" spans="1:72" ht="17.100000000000001" customHeight="1">
      <c r="A83" s="111" t="s">
        <v>300</v>
      </c>
      <c r="B83" s="112">
        <v>9718</v>
      </c>
      <c r="C83" s="113">
        <v>920</v>
      </c>
      <c r="D83" s="114">
        <v>0.13148492210947549</v>
      </c>
      <c r="E83" s="115">
        <v>3230</v>
      </c>
      <c r="F83" s="114">
        <v>0.46162641131913679</v>
      </c>
      <c r="G83" s="113">
        <v>2511</v>
      </c>
      <c r="H83" s="114">
        <v>0.35886808632270972</v>
      </c>
      <c r="I83" s="113">
        <v>51</v>
      </c>
      <c r="J83" s="114">
        <v>7.2888380734600546E-3</v>
      </c>
      <c r="K83" s="113">
        <v>17</v>
      </c>
      <c r="L83" s="114">
        <v>2.4296126911533514E-3</v>
      </c>
      <c r="M83" s="113">
        <v>35</v>
      </c>
      <c r="N83" s="114">
        <v>5.0021437759039588E-3</v>
      </c>
      <c r="O83" s="113">
        <v>28</v>
      </c>
      <c r="P83" s="114">
        <v>4.0017150207231674E-3</v>
      </c>
      <c r="Q83" s="113">
        <v>21</v>
      </c>
      <c r="R83" s="114">
        <v>3.0012862655423751E-3</v>
      </c>
      <c r="S83" s="113">
        <v>7</v>
      </c>
      <c r="T83" s="114">
        <v>1.0004287551807919E-3</v>
      </c>
      <c r="U83" s="116"/>
      <c r="V83" s="117"/>
      <c r="W83" s="113">
        <v>30</v>
      </c>
      <c r="X83" s="114">
        <v>4.2875518079176786E-3</v>
      </c>
      <c r="Y83" s="113">
        <v>25</v>
      </c>
      <c r="Z83" s="114">
        <v>3.5729598399313993E-3</v>
      </c>
      <c r="AA83" s="118"/>
      <c r="AB83" s="117"/>
      <c r="AC83" s="113">
        <v>1</v>
      </c>
      <c r="AD83" s="114">
        <v>1.4291839359725596E-4</v>
      </c>
      <c r="AE83" s="119">
        <v>6876</v>
      </c>
      <c r="AF83" s="114">
        <v>0.98270687437473203</v>
      </c>
      <c r="AG83" s="113">
        <v>121</v>
      </c>
      <c r="AH83" s="114">
        <v>1.7293125625267972E-2</v>
      </c>
      <c r="AI83" s="119">
        <v>6997</v>
      </c>
      <c r="AJ83" s="120">
        <v>0.72000411607326609</v>
      </c>
      <c r="AL83" s="121">
        <v>0</v>
      </c>
      <c r="AM83" s="120">
        <v>0</v>
      </c>
      <c r="AO83" s="121">
        <v>0</v>
      </c>
      <c r="AP83" s="120">
        <v>0</v>
      </c>
      <c r="AR83" s="122"/>
      <c r="AS83" s="117"/>
      <c r="AT83" s="123">
        <v>3333</v>
      </c>
      <c r="AU83" s="114">
        <v>0.47634700585965412</v>
      </c>
      <c r="AV83" s="119">
        <v>2587</v>
      </c>
      <c r="AW83" s="114">
        <v>0.3697298842361012</v>
      </c>
      <c r="AX83" s="116"/>
      <c r="AY83" s="117"/>
      <c r="AZ83" s="124" t="s">
        <v>203</v>
      </c>
      <c r="BA83" s="119">
        <v>3333</v>
      </c>
      <c r="BB83" s="125">
        <v>0.47634700585965412</v>
      </c>
      <c r="BC83" s="126">
        <v>3</v>
      </c>
      <c r="BD83" s="126"/>
      <c r="BE83" s="126"/>
      <c r="BF83" s="126"/>
      <c r="BG83" s="126"/>
      <c r="BH83" s="126">
        <v>4</v>
      </c>
      <c r="BI83" s="126"/>
      <c r="BJ83" s="126"/>
      <c r="BK83" s="126"/>
      <c r="BL83" s="126"/>
      <c r="BM83" s="126">
        <v>1</v>
      </c>
      <c r="BN83" s="126">
        <v>2</v>
      </c>
      <c r="BO83" s="126"/>
      <c r="BP83" s="124" t="s">
        <v>30</v>
      </c>
      <c r="BQ83" s="119">
        <v>2587</v>
      </c>
      <c r="BR83" s="128">
        <v>0.3697298842361012</v>
      </c>
      <c r="BS83" s="119">
        <v>746</v>
      </c>
      <c r="BT83" s="127">
        <v>0.10661712162355291</v>
      </c>
    </row>
    <row r="84" spans="1:72" ht="17.100000000000001" customHeight="1">
      <c r="A84" s="111" t="s">
        <v>301</v>
      </c>
      <c r="B84" s="112">
        <v>6764</v>
      </c>
      <c r="C84" s="113">
        <v>767</v>
      </c>
      <c r="D84" s="114">
        <v>0.15485564304461943</v>
      </c>
      <c r="E84" s="115">
        <v>1655</v>
      </c>
      <c r="F84" s="114">
        <v>0.33414092469210577</v>
      </c>
      <c r="G84" s="113">
        <v>553</v>
      </c>
      <c r="H84" s="114">
        <v>0.11164950535029275</v>
      </c>
      <c r="I84" s="113">
        <v>626</v>
      </c>
      <c r="J84" s="114">
        <v>0.12638804764789016</v>
      </c>
      <c r="K84" s="113">
        <v>19</v>
      </c>
      <c r="L84" s="114">
        <v>3.8360589541691905E-3</v>
      </c>
      <c r="M84" s="113">
        <v>1145</v>
      </c>
      <c r="N84" s="114">
        <v>0.23117302644861701</v>
      </c>
      <c r="O84" s="113">
        <v>35</v>
      </c>
      <c r="P84" s="114">
        <v>7.0664243892590347E-3</v>
      </c>
      <c r="Q84" s="113">
        <v>9</v>
      </c>
      <c r="R84" s="114">
        <v>1.8170805572380376E-3</v>
      </c>
      <c r="S84" s="113">
        <v>5</v>
      </c>
      <c r="T84" s="114">
        <v>1.0094891984655764E-3</v>
      </c>
      <c r="U84" s="116"/>
      <c r="V84" s="117"/>
      <c r="W84" s="113">
        <v>10</v>
      </c>
      <c r="X84" s="114">
        <v>2.0189783969311527E-3</v>
      </c>
      <c r="Y84" s="118"/>
      <c r="Z84" s="117"/>
      <c r="AA84" s="118"/>
      <c r="AB84" s="117"/>
      <c r="AC84" s="113">
        <v>6</v>
      </c>
      <c r="AD84" s="114">
        <v>1.2113870381586917E-3</v>
      </c>
      <c r="AE84" s="119">
        <v>4830</v>
      </c>
      <c r="AF84" s="114">
        <v>0.97516656571774685</v>
      </c>
      <c r="AG84" s="113">
        <v>123</v>
      </c>
      <c r="AH84" s="114">
        <v>2.4833434282253181E-2</v>
      </c>
      <c r="AI84" s="119">
        <v>4953</v>
      </c>
      <c r="AJ84" s="120">
        <v>0.73225901833234774</v>
      </c>
      <c r="AL84" s="121">
        <v>0</v>
      </c>
      <c r="AM84" s="120">
        <v>0</v>
      </c>
      <c r="AO84" s="121">
        <v>0</v>
      </c>
      <c r="AP84" s="120">
        <v>0</v>
      </c>
      <c r="AR84" s="122"/>
      <c r="AS84" s="117"/>
      <c r="AT84" s="123">
        <v>1733</v>
      </c>
      <c r="AU84" s="114">
        <v>0.34988895618816879</v>
      </c>
      <c r="AV84" s="116"/>
      <c r="AW84" s="117"/>
      <c r="AX84" s="116"/>
      <c r="AY84" s="117"/>
      <c r="AZ84" s="124" t="s">
        <v>203</v>
      </c>
      <c r="BA84" s="119">
        <v>1733</v>
      </c>
      <c r="BB84" s="125">
        <v>0.34988895618816879</v>
      </c>
      <c r="BC84" s="126">
        <v>3</v>
      </c>
      <c r="BD84" s="126"/>
      <c r="BE84" s="126">
        <v>5</v>
      </c>
      <c r="BF84" s="126">
        <v>4</v>
      </c>
      <c r="BG84" s="126"/>
      <c r="BH84" s="126">
        <v>2</v>
      </c>
      <c r="BI84" s="126"/>
      <c r="BJ84" s="126"/>
      <c r="BK84" s="126"/>
      <c r="BL84" s="126"/>
      <c r="BM84" s="126">
        <v>1</v>
      </c>
      <c r="BN84" s="126"/>
      <c r="BO84" s="126"/>
      <c r="BP84" s="124" t="s">
        <v>199</v>
      </c>
      <c r="BQ84" s="119">
        <v>1145</v>
      </c>
      <c r="BR84" s="114">
        <v>0.23117302644861701</v>
      </c>
      <c r="BS84" s="119">
        <v>588</v>
      </c>
      <c r="BT84" s="127">
        <v>0.11871592973955178</v>
      </c>
    </row>
    <row r="85" spans="1:72" ht="17.100000000000001" customHeight="1">
      <c r="A85" s="111" t="s">
        <v>302</v>
      </c>
      <c r="B85" s="112">
        <v>9246</v>
      </c>
      <c r="C85" s="113">
        <v>932</v>
      </c>
      <c r="D85" s="114">
        <v>0.14637977069263389</v>
      </c>
      <c r="E85" s="115">
        <v>2143</v>
      </c>
      <c r="F85" s="114">
        <v>0.33657923668917855</v>
      </c>
      <c r="G85" s="113">
        <v>532</v>
      </c>
      <c r="H85" s="114">
        <v>8.3555834773048537E-2</v>
      </c>
      <c r="I85" s="113">
        <v>1880</v>
      </c>
      <c r="J85" s="114">
        <v>0.2952724988220512</v>
      </c>
      <c r="K85" s="113">
        <v>40</v>
      </c>
      <c r="L85" s="114">
        <v>6.2823935919585358E-3</v>
      </c>
      <c r="M85" s="113">
        <v>493</v>
      </c>
      <c r="N85" s="114">
        <v>7.7430501020888956E-2</v>
      </c>
      <c r="O85" s="113">
        <v>29</v>
      </c>
      <c r="P85" s="114">
        <v>4.5547353541699389E-3</v>
      </c>
      <c r="Q85" s="113">
        <v>20</v>
      </c>
      <c r="R85" s="114">
        <v>3.1411967959792679E-3</v>
      </c>
      <c r="S85" s="113">
        <v>9</v>
      </c>
      <c r="T85" s="114">
        <v>1.4135385581906705E-3</v>
      </c>
      <c r="U85" s="116"/>
      <c r="V85" s="117"/>
      <c r="W85" s="113">
        <v>17</v>
      </c>
      <c r="X85" s="114">
        <v>2.6700172765823779E-3</v>
      </c>
      <c r="Y85" s="118"/>
      <c r="Z85" s="117"/>
      <c r="AA85" s="118"/>
      <c r="AB85" s="117"/>
      <c r="AC85" s="113">
        <v>8</v>
      </c>
      <c r="AD85" s="114">
        <v>1.2564787183917073E-3</v>
      </c>
      <c r="AE85" s="119">
        <v>6103</v>
      </c>
      <c r="AF85" s="114">
        <v>0.95853620229307368</v>
      </c>
      <c r="AG85" s="113">
        <v>264</v>
      </c>
      <c r="AH85" s="114">
        <v>4.1463797706926341E-2</v>
      </c>
      <c r="AI85" s="119">
        <v>6367</v>
      </c>
      <c r="AJ85" s="120">
        <v>0.6886221068570193</v>
      </c>
      <c r="AL85" s="121">
        <v>0</v>
      </c>
      <c r="AM85" s="120">
        <v>0</v>
      </c>
      <c r="AO85" s="121">
        <v>0</v>
      </c>
      <c r="AP85" s="120">
        <v>0</v>
      </c>
      <c r="AR85" s="122"/>
      <c r="AS85" s="117"/>
      <c r="AT85" s="123">
        <v>2258</v>
      </c>
      <c r="AU85" s="114">
        <v>0.35464111826605937</v>
      </c>
      <c r="AV85" s="116"/>
      <c r="AW85" s="117"/>
      <c r="AX85" s="116"/>
      <c r="AY85" s="117"/>
      <c r="AZ85" s="124" t="s">
        <v>203</v>
      </c>
      <c r="BA85" s="119">
        <v>2258</v>
      </c>
      <c r="BB85" s="125">
        <v>0.35464111826605937</v>
      </c>
      <c r="BC85" s="126">
        <v>3</v>
      </c>
      <c r="BD85" s="126"/>
      <c r="BE85" s="126">
        <v>4</v>
      </c>
      <c r="BF85" s="126">
        <v>2</v>
      </c>
      <c r="BG85" s="126"/>
      <c r="BH85" s="126">
        <v>5</v>
      </c>
      <c r="BI85" s="126"/>
      <c r="BJ85" s="126"/>
      <c r="BK85" s="126"/>
      <c r="BL85" s="126"/>
      <c r="BM85" s="126">
        <v>1</v>
      </c>
      <c r="BN85" s="126"/>
      <c r="BO85" s="126"/>
      <c r="BP85" s="124" t="s">
        <v>11</v>
      </c>
      <c r="BQ85" s="119">
        <v>1880</v>
      </c>
      <c r="BR85" s="114">
        <v>0.2952724988220512</v>
      </c>
      <c r="BS85" s="119">
        <v>378</v>
      </c>
      <c r="BT85" s="127">
        <v>5.9368619444008175E-2</v>
      </c>
    </row>
    <row r="86" spans="1:72" ht="17.100000000000001" customHeight="1">
      <c r="A86" s="111" t="s">
        <v>303</v>
      </c>
      <c r="B86" s="112">
        <v>68010</v>
      </c>
      <c r="C86" s="113">
        <v>18499</v>
      </c>
      <c r="D86" s="114">
        <v>0.39914126049150972</v>
      </c>
      <c r="E86" s="115">
        <v>20177</v>
      </c>
      <c r="F86" s="114">
        <v>0.43534640861328672</v>
      </c>
      <c r="G86" s="113">
        <v>1168</v>
      </c>
      <c r="H86" s="114">
        <v>2.5201199646147539E-2</v>
      </c>
      <c r="I86" s="113">
        <v>558</v>
      </c>
      <c r="J86" s="114">
        <v>1.2039614214512266E-2</v>
      </c>
      <c r="K86" s="113">
        <v>239</v>
      </c>
      <c r="L86" s="114">
        <v>5.1567523248538197E-3</v>
      </c>
      <c r="M86" s="113">
        <v>2257</v>
      </c>
      <c r="N86" s="114">
        <v>4.8697866097050513E-2</v>
      </c>
      <c r="O86" s="113">
        <v>222</v>
      </c>
      <c r="P86" s="114">
        <v>4.7899540423328368E-3</v>
      </c>
      <c r="Q86" s="113">
        <v>136</v>
      </c>
      <c r="R86" s="114">
        <v>2.934386260167864E-3</v>
      </c>
      <c r="S86" s="113">
        <v>32</v>
      </c>
      <c r="T86" s="114">
        <v>6.9044382592185034E-4</v>
      </c>
      <c r="U86" s="116"/>
      <c r="V86" s="117"/>
      <c r="W86" s="113">
        <v>445</v>
      </c>
      <c r="X86" s="114">
        <v>9.6014844542257321E-3</v>
      </c>
      <c r="Y86" s="118"/>
      <c r="Z86" s="117"/>
      <c r="AA86" s="118"/>
      <c r="AB86" s="117"/>
      <c r="AC86" s="113">
        <v>43</v>
      </c>
      <c r="AD86" s="114">
        <v>9.277838910824865E-4</v>
      </c>
      <c r="AE86" s="119">
        <v>43776</v>
      </c>
      <c r="AF86" s="114">
        <v>0.94452715386109132</v>
      </c>
      <c r="AG86" s="113">
        <v>2571</v>
      </c>
      <c r="AH86" s="114">
        <v>5.5472846138908669E-2</v>
      </c>
      <c r="AI86" s="119">
        <v>46347</v>
      </c>
      <c r="AJ86" s="120">
        <v>0.68147331274812528</v>
      </c>
      <c r="AL86" s="121">
        <v>0</v>
      </c>
      <c r="AM86" s="120">
        <v>0</v>
      </c>
      <c r="AO86" s="121">
        <v>0</v>
      </c>
      <c r="AP86" s="120">
        <v>0</v>
      </c>
      <c r="AR86" s="122"/>
      <c r="AS86" s="117"/>
      <c r="AT86" s="123">
        <v>21251</v>
      </c>
      <c r="AU86" s="114">
        <v>0.45851942952078883</v>
      </c>
      <c r="AV86" s="116"/>
      <c r="AW86" s="117"/>
      <c r="AX86" s="116"/>
      <c r="AY86" s="117"/>
      <c r="AZ86" s="124" t="s">
        <v>203</v>
      </c>
      <c r="BA86" s="119">
        <v>21251</v>
      </c>
      <c r="BB86" s="125">
        <v>0.45851942952078883</v>
      </c>
      <c r="BC86" s="126">
        <v>2</v>
      </c>
      <c r="BD86" s="126"/>
      <c r="BE86" s="126">
        <v>4</v>
      </c>
      <c r="BF86" s="126">
        <v>5</v>
      </c>
      <c r="BG86" s="126"/>
      <c r="BH86" s="126">
        <v>3</v>
      </c>
      <c r="BI86" s="126"/>
      <c r="BJ86" s="126"/>
      <c r="BK86" s="126"/>
      <c r="BL86" s="126"/>
      <c r="BM86" s="126">
        <v>1</v>
      </c>
      <c r="BN86" s="126"/>
      <c r="BO86" s="126"/>
      <c r="BP86" s="124" t="s">
        <v>7</v>
      </c>
      <c r="BQ86" s="119">
        <v>18499</v>
      </c>
      <c r="BR86" s="114">
        <v>0.39914126049150972</v>
      </c>
      <c r="BS86" s="119">
        <v>2752</v>
      </c>
      <c r="BT86" s="127">
        <v>5.9378169029279115E-2</v>
      </c>
    </row>
    <row r="87" spans="1:72" ht="17.100000000000001" customHeight="1">
      <c r="A87" s="111" t="s">
        <v>304</v>
      </c>
      <c r="B87" s="112">
        <v>14838</v>
      </c>
      <c r="C87" s="113">
        <v>3172</v>
      </c>
      <c r="D87" s="114">
        <v>0.30057803468208094</v>
      </c>
      <c r="E87" s="115">
        <v>3480</v>
      </c>
      <c r="F87" s="114">
        <v>0.32976404813797022</v>
      </c>
      <c r="G87" s="113">
        <v>1115</v>
      </c>
      <c r="H87" s="114">
        <v>0.10565715910167725</v>
      </c>
      <c r="I87" s="113">
        <v>1604</v>
      </c>
      <c r="J87" s="114">
        <v>0.15199469345209893</v>
      </c>
      <c r="K87" s="113">
        <v>31</v>
      </c>
      <c r="L87" s="114">
        <v>2.9375533023784707E-3</v>
      </c>
      <c r="M87" s="113">
        <v>765</v>
      </c>
      <c r="N87" s="114">
        <v>7.2491234719984837E-2</v>
      </c>
      <c r="O87" s="113">
        <v>33</v>
      </c>
      <c r="P87" s="114">
        <v>3.1270728702738559E-3</v>
      </c>
      <c r="Q87" s="113">
        <v>20</v>
      </c>
      <c r="R87" s="114">
        <v>1.895195678953852E-3</v>
      </c>
      <c r="S87" s="113">
        <v>9</v>
      </c>
      <c r="T87" s="114">
        <v>8.5283805552923342E-4</v>
      </c>
      <c r="U87" s="116"/>
      <c r="V87" s="117"/>
      <c r="W87" s="113">
        <v>56</v>
      </c>
      <c r="X87" s="114">
        <v>5.3065479010707857E-3</v>
      </c>
      <c r="Y87" s="118"/>
      <c r="Z87" s="117"/>
      <c r="AA87" s="118"/>
      <c r="AB87" s="117"/>
      <c r="AC87" s="113">
        <v>6</v>
      </c>
      <c r="AD87" s="114">
        <v>5.6855870368615561E-4</v>
      </c>
      <c r="AE87" s="119">
        <v>10291</v>
      </c>
      <c r="AF87" s="114">
        <v>0.97517293660570459</v>
      </c>
      <c r="AG87" s="113">
        <v>262</v>
      </c>
      <c r="AH87" s="114">
        <v>2.4827063394295461E-2</v>
      </c>
      <c r="AI87" s="119">
        <v>10553</v>
      </c>
      <c r="AJ87" s="120">
        <v>0.71121444938670975</v>
      </c>
      <c r="AL87" s="121">
        <v>0</v>
      </c>
      <c r="AM87" s="120">
        <v>0</v>
      </c>
      <c r="AO87" s="121">
        <v>0</v>
      </c>
      <c r="AP87" s="120">
        <v>0</v>
      </c>
      <c r="AR87" s="122"/>
      <c r="AS87" s="117"/>
      <c r="AT87" s="123">
        <v>3629</v>
      </c>
      <c r="AU87" s="114">
        <v>0.34388325594617647</v>
      </c>
      <c r="AV87" s="116"/>
      <c r="AW87" s="117"/>
      <c r="AX87" s="116"/>
      <c r="AY87" s="117"/>
      <c r="AZ87" s="124" t="s">
        <v>203</v>
      </c>
      <c r="BA87" s="119">
        <v>3629</v>
      </c>
      <c r="BB87" s="125">
        <v>0.34388325594617647</v>
      </c>
      <c r="BC87" s="126">
        <v>2</v>
      </c>
      <c r="BD87" s="126"/>
      <c r="BE87" s="126">
        <v>4</v>
      </c>
      <c r="BF87" s="126">
        <v>3</v>
      </c>
      <c r="BG87" s="126"/>
      <c r="BH87" s="126">
        <v>5</v>
      </c>
      <c r="BI87" s="126"/>
      <c r="BJ87" s="126"/>
      <c r="BK87" s="126"/>
      <c r="BL87" s="126"/>
      <c r="BM87" s="126">
        <v>1</v>
      </c>
      <c r="BN87" s="126"/>
      <c r="BO87" s="126"/>
      <c r="BP87" s="124" t="s">
        <v>7</v>
      </c>
      <c r="BQ87" s="119">
        <v>3172</v>
      </c>
      <c r="BR87" s="114">
        <v>0.30057803468208094</v>
      </c>
      <c r="BS87" s="119">
        <v>457</v>
      </c>
      <c r="BT87" s="127">
        <v>4.3305221264095528E-2</v>
      </c>
    </row>
    <row r="88" spans="1:72" ht="17.100000000000001" customHeight="1">
      <c r="A88" s="111" t="s">
        <v>305</v>
      </c>
      <c r="B88" s="112">
        <v>50563</v>
      </c>
      <c r="C88" s="113">
        <v>12562</v>
      </c>
      <c r="D88" s="114">
        <v>0.4142046953310472</v>
      </c>
      <c r="E88" s="115">
        <v>10064</v>
      </c>
      <c r="F88" s="114">
        <v>0.33183856502242154</v>
      </c>
      <c r="G88" s="113">
        <v>2801</v>
      </c>
      <c r="H88" s="114">
        <v>9.235689791611712E-2</v>
      </c>
      <c r="I88" s="113">
        <v>477</v>
      </c>
      <c r="J88" s="114">
        <v>1.5728040094961752E-2</v>
      </c>
      <c r="K88" s="113">
        <v>672</v>
      </c>
      <c r="L88" s="114">
        <v>2.2157742020575046E-2</v>
      </c>
      <c r="M88" s="113">
        <v>2010</v>
      </c>
      <c r="N88" s="114">
        <v>6.6275389079398575E-2</v>
      </c>
      <c r="O88" s="113">
        <v>222</v>
      </c>
      <c r="P88" s="114">
        <v>7.3199683460828278E-3</v>
      </c>
      <c r="Q88" s="113">
        <v>119</v>
      </c>
      <c r="R88" s="114">
        <v>3.9237668161434978E-3</v>
      </c>
      <c r="S88" s="113">
        <v>88</v>
      </c>
      <c r="T88" s="114">
        <v>2.9016090741229225E-3</v>
      </c>
      <c r="U88" s="116"/>
      <c r="V88" s="117"/>
      <c r="W88" s="113">
        <v>124</v>
      </c>
      <c r="X88" s="114">
        <v>4.0886309680823003E-3</v>
      </c>
      <c r="Y88" s="113">
        <v>73</v>
      </c>
      <c r="Z88" s="114">
        <v>2.4070166183065155E-3</v>
      </c>
      <c r="AA88" s="118"/>
      <c r="AB88" s="117"/>
      <c r="AC88" s="113">
        <v>29</v>
      </c>
      <c r="AD88" s="114">
        <v>9.562120812450541E-4</v>
      </c>
      <c r="AE88" s="119">
        <v>29241</v>
      </c>
      <c r="AF88" s="114">
        <v>0.96415853336850432</v>
      </c>
      <c r="AG88" s="113">
        <v>1087</v>
      </c>
      <c r="AH88" s="114">
        <v>3.584146663149565E-2</v>
      </c>
      <c r="AI88" s="119">
        <v>30328</v>
      </c>
      <c r="AJ88" s="120">
        <v>0.59980618238632988</v>
      </c>
      <c r="AL88" s="121">
        <v>0</v>
      </c>
      <c r="AM88" s="120">
        <v>0</v>
      </c>
      <c r="AO88" s="121">
        <v>0</v>
      </c>
      <c r="AP88" s="120">
        <v>0</v>
      </c>
      <c r="AR88" s="122"/>
      <c r="AS88" s="117"/>
      <c r="AT88" s="123">
        <v>11289</v>
      </c>
      <c r="AU88" s="114">
        <v>0.3722302822474281</v>
      </c>
      <c r="AV88" s="119">
        <v>3351</v>
      </c>
      <c r="AW88" s="114">
        <v>0.11049195462938538</v>
      </c>
      <c r="AX88" s="116"/>
      <c r="AY88" s="117"/>
      <c r="AZ88" s="124" t="s">
        <v>7</v>
      </c>
      <c r="BA88" s="119">
        <v>12562</v>
      </c>
      <c r="BB88" s="125">
        <v>0.4142046953310472</v>
      </c>
      <c r="BC88" s="126">
        <v>1</v>
      </c>
      <c r="BD88" s="126"/>
      <c r="BE88" s="126"/>
      <c r="BF88" s="126"/>
      <c r="BG88" s="126"/>
      <c r="BH88" s="126">
        <v>4</v>
      </c>
      <c r="BI88" s="126"/>
      <c r="BJ88" s="126"/>
      <c r="BK88" s="126"/>
      <c r="BL88" s="126"/>
      <c r="BM88" s="126">
        <v>2</v>
      </c>
      <c r="BN88" s="126">
        <v>3</v>
      </c>
      <c r="BO88" s="126"/>
      <c r="BP88" s="124" t="s">
        <v>203</v>
      </c>
      <c r="BQ88" s="119">
        <v>11289</v>
      </c>
      <c r="BR88" s="128">
        <v>0.3722302822474281</v>
      </c>
      <c r="BS88" s="119">
        <v>1273</v>
      </c>
      <c r="BT88" s="127">
        <v>4.19744130836191E-2</v>
      </c>
    </row>
    <row r="89" spans="1:72" ht="17.100000000000001" customHeight="1">
      <c r="A89" s="111" t="s">
        <v>306</v>
      </c>
      <c r="B89" s="112">
        <v>3848</v>
      </c>
      <c r="C89" s="113">
        <v>237</v>
      </c>
      <c r="D89" s="114">
        <v>7.9797979797979798E-2</v>
      </c>
      <c r="E89" s="115">
        <v>986</v>
      </c>
      <c r="F89" s="114">
        <v>0.331986531986532</v>
      </c>
      <c r="G89" s="113">
        <v>1443</v>
      </c>
      <c r="H89" s="114">
        <v>0.48585858585858588</v>
      </c>
      <c r="I89" s="113">
        <v>20</v>
      </c>
      <c r="J89" s="114">
        <v>6.7340067340067337E-3</v>
      </c>
      <c r="K89" s="113">
        <v>2</v>
      </c>
      <c r="L89" s="114">
        <v>6.7340067340067344E-4</v>
      </c>
      <c r="M89" s="113">
        <v>198</v>
      </c>
      <c r="N89" s="114">
        <v>6.6666666666666666E-2</v>
      </c>
      <c r="O89" s="113">
        <v>6</v>
      </c>
      <c r="P89" s="114">
        <v>2.0202020202020202E-3</v>
      </c>
      <c r="Q89" s="113">
        <v>3</v>
      </c>
      <c r="R89" s="114">
        <v>1.0101010101010101E-3</v>
      </c>
      <c r="S89" s="113">
        <v>2</v>
      </c>
      <c r="T89" s="114">
        <v>6.7340067340067344E-4</v>
      </c>
      <c r="U89" s="116"/>
      <c r="V89" s="117"/>
      <c r="W89" s="113">
        <v>12</v>
      </c>
      <c r="X89" s="114">
        <v>4.0404040404040404E-3</v>
      </c>
      <c r="Y89" s="113">
        <v>17</v>
      </c>
      <c r="Z89" s="114">
        <v>5.723905723905724E-3</v>
      </c>
      <c r="AA89" s="118"/>
      <c r="AB89" s="117"/>
      <c r="AC89" s="113">
        <v>0</v>
      </c>
      <c r="AD89" s="114">
        <v>0</v>
      </c>
      <c r="AE89" s="119">
        <v>2926</v>
      </c>
      <c r="AF89" s="114">
        <v>0.98518518518518516</v>
      </c>
      <c r="AG89" s="113">
        <v>44</v>
      </c>
      <c r="AH89" s="114">
        <v>1.4814814814814815E-2</v>
      </c>
      <c r="AI89" s="119">
        <v>2970</v>
      </c>
      <c r="AJ89" s="120">
        <v>0.7718295218295218</v>
      </c>
      <c r="AL89" s="121">
        <v>0</v>
      </c>
      <c r="AM89" s="120">
        <v>0</v>
      </c>
      <c r="AO89" s="121">
        <v>0</v>
      </c>
      <c r="AP89" s="120">
        <v>0</v>
      </c>
      <c r="AR89" s="122"/>
      <c r="AS89" s="117"/>
      <c r="AT89" s="123">
        <v>1011</v>
      </c>
      <c r="AU89" s="114">
        <v>0.34040404040404043</v>
      </c>
      <c r="AV89" s="119">
        <v>1480</v>
      </c>
      <c r="AW89" s="114">
        <v>0.49831649831649832</v>
      </c>
      <c r="AX89" s="116"/>
      <c r="AY89" s="117"/>
      <c r="AZ89" s="124" t="s">
        <v>256</v>
      </c>
      <c r="BA89" s="119">
        <v>1480</v>
      </c>
      <c r="BB89" s="125">
        <v>0.49831649831649832</v>
      </c>
      <c r="BC89" s="126">
        <v>3</v>
      </c>
      <c r="BD89" s="126"/>
      <c r="BE89" s="126"/>
      <c r="BF89" s="126"/>
      <c r="BG89" s="126"/>
      <c r="BH89" s="126">
        <v>4</v>
      </c>
      <c r="BI89" s="126"/>
      <c r="BJ89" s="126"/>
      <c r="BK89" s="126"/>
      <c r="BL89" s="126"/>
      <c r="BM89" s="126">
        <v>2</v>
      </c>
      <c r="BN89" s="126">
        <v>1</v>
      </c>
      <c r="BO89" s="126"/>
      <c r="BP89" s="124" t="s">
        <v>203</v>
      </c>
      <c r="BQ89" s="119">
        <v>1011</v>
      </c>
      <c r="BR89" s="128">
        <v>0.34040404040404043</v>
      </c>
      <c r="BS89" s="119">
        <v>469</v>
      </c>
      <c r="BT89" s="127">
        <v>0.15791245791245789</v>
      </c>
    </row>
    <row r="90" spans="1:72" ht="17.100000000000001" customHeight="1">
      <c r="A90" s="111" t="s">
        <v>307</v>
      </c>
      <c r="B90" s="112">
        <v>6297</v>
      </c>
      <c r="C90" s="113">
        <v>308</v>
      </c>
      <c r="D90" s="114">
        <v>7.2114258955748065E-2</v>
      </c>
      <c r="E90" s="115">
        <v>2090</v>
      </c>
      <c r="F90" s="114">
        <v>0.48934675719971904</v>
      </c>
      <c r="G90" s="113">
        <v>1272</v>
      </c>
      <c r="H90" s="114">
        <v>0.29782252399906345</v>
      </c>
      <c r="I90" s="113">
        <v>404</v>
      </c>
      <c r="J90" s="114">
        <v>9.4591430578318897E-2</v>
      </c>
      <c r="K90" s="113">
        <v>8</v>
      </c>
      <c r="L90" s="114">
        <v>1.8730976352142356E-3</v>
      </c>
      <c r="M90" s="118"/>
      <c r="N90" s="118"/>
      <c r="O90" s="113">
        <v>19</v>
      </c>
      <c r="P90" s="114">
        <v>4.4486068836338093E-3</v>
      </c>
      <c r="Q90" s="113">
        <v>9</v>
      </c>
      <c r="R90" s="114">
        <v>2.1072348396160151E-3</v>
      </c>
      <c r="S90" s="113">
        <v>2</v>
      </c>
      <c r="T90" s="114">
        <v>4.682744088035589E-4</v>
      </c>
      <c r="U90" s="116"/>
      <c r="V90" s="117"/>
      <c r="W90" s="113">
        <v>35</v>
      </c>
      <c r="X90" s="114">
        <v>8.1948021540622813E-3</v>
      </c>
      <c r="Y90" s="118"/>
      <c r="Z90" s="117"/>
      <c r="AA90" s="118"/>
      <c r="AB90" s="117"/>
      <c r="AC90" s="113">
        <v>3</v>
      </c>
      <c r="AD90" s="114">
        <v>7.0241161320533829E-4</v>
      </c>
      <c r="AE90" s="119">
        <v>4150</v>
      </c>
      <c r="AF90" s="114">
        <v>0.97166939826738474</v>
      </c>
      <c r="AG90" s="113">
        <v>121</v>
      </c>
      <c r="AH90" s="114">
        <v>2.8330601732615313E-2</v>
      </c>
      <c r="AI90" s="119">
        <v>4271</v>
      </c>
      <c r="AJ90" s="120">
        <v>0.67825948864538665</v>
      </c>
      <c r="AL90" s="121">
        <v>0</v>
      </c>
      <c r="AM90" s="120">
        <v>0</v>
      </c>
      <c r="AO90" s="121">
        <v>0</v>
      </c>
      <c r="AP90" s="120">
        <v>0</v>
      </c>
      <c r="AR90" s="122"/>
      <c r="AS90" s="117"/>
      <c r="AT90" s="123">
        <v>2163</v>
      </c>
      <c r="AU90" s="114">
        <v>0.5064387731210489</v>
      </c>
      <c r="AV90" s="116"/>
      <c r="AW90" s="117"/>
      <c r="AX90" s="116"/>
      <c r="AY90" s="117"/>
      <c r="AZ90" s="124" t="s">
        <v>203</v>
      </c>
      <c r="BA90" s="119">
        <v>2163</v>
      </c>
      <c r="BB90" s="125">
        <v>0.5064387731210489</v>
      </c>
      <c r="BC90" s="126">
        <v>4</v>
      </c>
      <c r="BD90" s="126"/>
      <c r="BE90" s="126">
        <v>2</v>
      </c>
      <c r="BF90" s="126">
        <v>3</v>
      </c>
      <c r="BG90" s="126"/>
      <c r="BH90" s="126"/>
      <c r="BI90" s="126"/>
      <c r="BJ90" s="126"/>
      <c r="BK90" s="126"/>
      <c r="BL90" s="126"/>
      <c r="BM90" s="126">
        <v>1</v>
      </c>
      <c r="BN90" s="126"/>
      <c r="BO90" s="126"/>
      <c r="BP90" s="124" t="s">
        <v>10</v>
      </c>
      <c r="BQ90" s="119">
        <v>1272</v>
      </c>
      <c r="BR90" s="114">
        <v>0.29782252399906345</v>
      </c>
      <c r="BS90" s="119">
        <v>891</v>
      </c>
      <c r="BT90" s="127">
        <v>0.20861624912198545</v>
      </c>
    </row>
    <row r="91" spans="1:72" ht="17.100000000000001" customHeight="1">
      <c r="A91" s="111" t="s">
        <v>308</v>
      </c>
      <c r="B91" s="112">
        <v>7832</v>
      </c>
      <c r="C91" s="113">
        <v>3351</v>
      </c>
      <c r="D91" s="114">
        <v>0.52996995097263955</v>
      </c>
      <c r="E91" s="115">
        <v>2616</v>
      </c>
      <c r="F91" s="114">
        <v>0.41372766092044916</v>
      </c>
      <c r="G91" s="113">
        <v>165</v>
      </c>
      <c r="H91" s="114">
        <v>2.609520797089989E-2</v>
      </c>
      <c r="I91" s="113">
        <v>12</v>
      </c>
      <c r="J91" s="114">
        <v>1.8978333069745374E-3</v>
      </c>
      <c r="K91" s="113">
        <v>8</v>
      </c>
      <c r="L91" s="114">
        <v>1.2652222046496916E-3</v>
      </c>
      <c r="M91" s="113">
        <v>29</v>
      </c>
      <c r="N91" s="114">
        <v>4.586430491855132E-3</v>
      </c>
      <c r="O91" s="113">
        <v>17</v>
      </c>
      <c r="P91" s="114">
        <v>2.6885971848805948E-3</v>
      </c>
      <c r="Q91" s="113">
        <v>5</v>
      </c>
      <c r="R91" s="114">
        <v>7.907638779060573E-4</v>
      </c>
      <c r="S91" s="113">
        <v>3</v>
      </c>
      <c r="T91" s="114">
        <v>4.7445832674363435E-4</v>
      </c>
      <c r="U91" s="116"/>
      <c r="V91" s="117"/>
      <c r="W91" s="113">
        <v>19</v>
      </c>
      <c r="X91" s="114">
        <v>3.0049027360430176E-3</v>
      </c>
      <c r="Y91" s="113">
        <v>3</v>
      </c>
      <c r="Z91" s="114">
        <v>4.7445832674363435E-4</v>
      </c>
      <c r="AA91" s="118"/>
      <c r="AB91" s="117"/>
      <c r="AC91" s="113">
        <v>2</v>
      </c>
      <c r="AD91" s="114">
        <v>3.163055511624229E-4</v>
      </c>
      <c r="AE91" s="119">
        <v>6230</v>
      </c>
      <c r="AF91" s="114">
        <v>0.98529179187094729</v>
      </c>
      <c r="AG91" s="113">
        <v>93</v>
      </c>
      <c r="AH91" s="114">
        <v>1.4708208129052665E-2</v>
      </c>
      <c r="AI91" s="119">
        <v>6323</v>
      </c>
      <c r="AJ91" s="120">
        <v>0.80732890704800819</v>
      </c>
      <c r="AL91" s="121">
        <v>0</v>
      </c>
      <c r="AM91" s="120">
        <v>0</v>
      </c>
      <c r="AO91" s="121">
        <v>0</v>
      </c>
      <c r="AP91" s="120">
        <v>0</v>
      </c>
      <c r="AR91" s="122"/>
      <c r="AS91" s="117"/>
      <c r="AT91" s="123">
        <v>2668</v>
      </c>
      <c r="AU91" s="114">
        <v>0.42195160525067216</v>
      </c>
      <c r="AV91" s="119">
        <v>180</v>
      </c>
      <c r="AW91" s="114">
        <v>2.8467499604618061E-2</v>
      </c>
      <c r="AX91" s="116"/>
      <c r="AY91" s="117"/>
      <c r="AZ91" s="124" t="s">
        <v>7</v>
      </c>
      <c r="BA91" s="119">
        <v>3351</v>
      </c>
      <c r="BB91" s="125">
        <v>0.52996995097263955</v>
      </c>
      <c r="BC91" s="126">
        <v>1</v>
      </c>
      <c r="BD91" s="126"/>
      <c r="BE91" s="126"/>
      <c r="BF91" s="126"/>
      <c r="BG91" s="126"/>
      <c r="BH91" s="126">
        <v>4</v>
      </c>
      <c r="BI91" s="126"/>
      <c r="BJ91" s="126"/>
      <c r="BK91" s="126"/>
      <c r="BL91" s="126"/>
      <c r="BM91" s="126">
        <v>2</v>
      </c>
      <c r="BN91" s="126">
        <v>3</v>
      </c>
      <c r="BO91" s="126"/>
      <c r="BP91" s="124" t="s">
        <v>203</v>
      </c>
      <c r="BQ91" s="119">
        <v>2668</v>
      </c>
      <c r="BR91" s="128">
        <v>0.42195160525067216</v>
      </c>
      <c r="BS91" s="119">
        <v>683</v>
      </c>
      <c r="BT91" s="127">
        <v>0.10801834572196739</v>
      </c>
    </row>
    <row r="92" spans="1:72" ht="17.100000000000001" customHeight="1">
      <c r="A92" s="111" t="s">
        <v>309</v>
      </c>
      <c r="B92" s="112">
        <v>17136</v>
      </c>
      <c r="C92" s="113">
        <v>5668</v>
      </c>
      <c r="D92" s="114">
        <v>0.48984530291245354</v>
      </c>
      <c r="E92" s="115">
        <v>5130</v>
      </c>
      <c r="F92" s="114">
        <v>0.44334975369458129</v>
      </c>
      <c r="G92" s="113">
        <v>89</v>
      </c>
      <c r="H92" s="114">
        <v>7.6916429003543339E-3</v>
      </c>
      <c r="I92" s="113">
        <v>41</v>
      </c>
      <c r="J92" s="114">
        <v>3.5433411113991878E-3</v>
      </c>
      <c r="K92" s="113">
        <v>24</v>
      </c>
      <c r="L92" s="114">
        <v>2.074150894477573E-3</v>
      </c>
      <c r="M92" s="113">
        <v>11</v>
      </c>
      <c r="N92" s="114">
        <v>9.5065249330222108E-4</v>
      </c>
      <c r="O92" s="113">
        <v>86</v>
      </c>
      <c r="P92" s="114">
        <v>7.4323740385446374E-3</v>
      </c>
      <c r="Q92" s="113">
        <v>15</v>
      </c>
      <c r="R92" s="114">
        <v>1.2963443090484833E-3</v>
      </c>
      <c r="S92" s="113">
        <v>1</v>
      </c>
      <c r="T92" s="114">
        <v>8.6422953936565557E-5</v>
      </c>
      <c r="U92" s="116"/>
      <c r="V92" s="117"/>
      <c r="W92" s="113">
        <v>84</v>
      </c>
      <c r="X92" s="114">
        <v>7.2595281306715061E-3</v>
      </c>
      <c r="Y92" s="118"/>
      <c r="Z92" s="117"/>
      <c r="AA92" s="118"/>
      <c r="AB92" s="117"/>
      <c r="AC92" s="113">
        <v>12</v>
      </c>
      <c r="AD92" s="114">
        <v>1.0370754472387865E-3</v>
      </c>
      <c r="AE92" s="119">
        <v>11161</v>
      </c>
      <c r="AF92" s="114">
        <v>0.9645665888860081</v>
      </c>
      <c r="AG92" s="113">
        <v>410</v>
      </c>
      <c r="AH92" s="114">
        <v>3.5433411113991876E-2</v>
      </c>
      <c r="AI92" s="119">
        <v>11571</v>
      </c>
      <c r="AJ92" s="120">
        <v>0.67524509803921573</v>
      </c>
      <c r="AL92" s="121">
        <v>0</v>
      </c>
      <c r="AM92" s="120">
        <v>0</v>
      </c>
      <c r="AO92" s="121">
        <v>0</v>
      </c>
      <c r="AP92" s="120">
        <v>0</v>
      </c>
      <c r="AR92" s="122"/>
      <c r="AS92" s="117"/>
      <c r="AT92" s="123">
        <v>5340</v>
      </c>
      <c r="AU92" s="114">
        <v>0.46149857402126004</v>
      </c>
      <c r="AV92" s="116"/>
      <c r="AW92" s="117"/>
      <c r="AX92" s="116"/>
      <c r="AY92" s="117"/>
      <c r="AZ92" s="124" t="s">
        <v>7</v>
      </c>
      <c r="BA92" s="119">
        <v>5668</v>
      </c>
      <c r="BB92" s="125">
        <v>0.48984530291245354</v>
      </c>
      <c r="BC92" s="126">
        <v>1</v>
      </c>
      <c r="BD92" s="126"/>
      <c r="BE92" s="126">
        <v>3</v>
      </c>
      <c r="BF92" s="126">
        <v>4</v>
      </c>
      <c r="BG92" s="126"/>
      <c r="BH92" s="126">
        <v>5</v>
      </c>
      <c r="BI92" s="126"/>
      <c r="BJ92" s="126"/>
      <c r="BK92" s="126"/>
      <c r="BL92" s="126"/>
      <c r="BM92" s="126">
        <v>2</v>
      </c>
      <c r="BN92" s="126"/>
      <c r="BO92" s="126"/>
      <c r="BP92" s="124" t="s">
        <v>203</v>
      </c>
      <c r="BQ92" s="119">
        <v>5340</v>
      </c>
      <c r="BR92" s="114">
        <v>0.46149857402126004</v>
      </c>
      <c r="BS92" s="119">
        <v>328</v>
      </c>
      <c r="BT92" s="127">
        <v>2.8346728891193496E-2</v>
      </c>
    </row>
    <row r="93" spans="1:72" ht="17.100000000000001" customHeight="1">
      <c r="A93" s="111" t="s">
        <v>310</v>
      </c>
      <c r="B93" s="112">
        <v>191728</v>
      </c>
      <c r="C93" s="113">
        <v>43478</v>
      </c>
      <c r="D93" s="114">
        <v>0.38827269642251155</v>
      </c>
      <c r="E93" s="115">
        <v>44097</v>
      </c>
      <c r="F93" s="114">
        <v>0.39380056796870816</v>
      </c>
      <c r="G93" s="113">
        <v>11185</v>
      </c>
      <c r="H93" s="114">
        <v>9.9885691832324208E-2</v>
      </c>
      <c r="I93" s="113">
        <v>2076</v>
      </c>
      <c r="J93" s="114">
        <v>1.8539355944917752E-2</v>
      </c>
      <c r="K93" s="113">
        <v>1587</v>
      </c>
      <c r="L93" s="114">
        <v>1.4172426726678455E-2</v>
      </c>
      <c r="M93" s="113">
        <v>1082</v>
      </c>
      <c r="N93" s="114">
        <v>9.6626122988444155E-3</v>
      </c>
      <c r="O93" s="113">
        <v>707</v>
      </c>
      <c r="P93" s="114">
        <v>6.313740198967654E-3</v>
      </c>
      <c r="Q93" s="113">
        <v>339</v>
      </c>
      <c r="R93" s="114">
        <v>3.0273803782885924E-3</v>
      </c>
      <c r="S93" s="113">
        <v>154</v>
      </c>
      <c r="T93" s="114">
        <v>1.3752701423493901E-3</v>
      </c>
      <c r="U93" s="116"/>
      <c r="V93" s="117"/>
      <c r="W93" s="113">
        <v>771</v>
      </c>
      <c r="X93" s="114">
        <v>6.8852810373466215E-3</v>
      </c>
      <c r="Y93" s="118"/>
      <c r="Z93" s="117"/>
      <c r="AA93" s="118"/>
      <c r="AB93" s="117"/>
      <c r="AC93" s="113">
        <v>123</v>
      </c>
      <c r="AD93" s="114">
        <v>1.0984300487595778E-3</v>
      </c>
      <c r="AE93" s="119">
        <v>105599</v>
      </c>
      <c r="AF93" s="114">
        <v>0.94303345299969632</v>
      </c>
      <c r="AG93" s="113">
        <v>4082</v>
      </c>
      <c r="AH93" s="114">
        <v>3.6453589097858508E-2</v>
      </c>
      <c r="AI93" s="119">
        <v>111978</v>
      </c>
      <c r="AJ93" s="120">
        <v>0.58404614871067351</v>
      </c>
      <c r="AL93" s="121">
        <v>2297</v>
      </c>
      <c r="AM93" s="120">
        <v>2.0512957902445124E-2</v>
      </c>
      <c r="AO93" s="121">
        <v>0</v>
      </c>
      <c r="AP93" s="120">
        <v>0</v>
      </c>
      <c r="AR93" s="122"/>
      <c r="AS93" s="117"/>
      <c r="AT93" s="123">
        <v>47655</v>
      </c>
      <c r="AU93" s="114">
        <v>0.42557466645233888</v>
      </c>
      <c r="AV93" s="116"/>
      <c r="AW93" s="117"/>
      <c r="AX93" s="116"/>
      <c r="AY93" s="117"/>
      <c r="AZ93" s="124" t="s">
        <v>203</v>
      </c>
      <c r="BA93" s="119">
        <v>47655</v>
      </c>
      <c r="BB93" s="125">
        <v>0.42557466645233888</v>
      </c>
      <c r="BC93" s="126">
        <v>2</v>
      </c>
      <c r="BD93" s="126"/>
      <c r="BE93" s="126">
        <v>3</v>
      </c>
      <c r="BF93" s="126">
        <v>4</v>
      </c>
      <c r="BG93" s="126"/>
      <c r="BH93" s="126">
        <v>5</v>
      </c>
      <c r="BI93" s="126"/>
      <c r="BJ93" s="126"/>
      <c r="BK93" s="126"/>
      <c r="BL93" s="126"/>
      <c r="BM93" s="126">
        <v>1</v>
      </c>
      <c r="BN93" s="126"/>
      <c r="BO93" s="126"/>
      <c r="BP93" s="124" t="s">
        <v>7</v>
      </c>
      <c r="BQ93" s="119">
        <v>43478</v>
      </c>
      <c r="BR93" s="114">
        <v>0.38827269642251155</v>
      </c>
      <c r="BS93" s="119">
        <v>4177</v>
      </c>
      <c r="BT93" s="127">
        <v>3.7301970029827325E-2</v>
      </c>
    </row>
    <row r="94" spans="1:72" ht="17.100000000000001" customHeight="1">
      <c r="A94" s="111" t="s">
        <v>311</v>
      </c>
      <c r="B94" s="112">
        <v>48355</v>
      </c>
      <c r="C94" s="113">
        <v>1551</v>
      </c>
      <c r="D94" s="114">
        <v>5.4451621963207415E-2</v>
      </c>
      <c r="E94" s="115">
        <v>11262</v>
      </c>
      <c r="F94" s="114">
        <v>0.39537986237887934</v>
      </c>
      <c r="G94" s="113">
        <v>8645</v>
      </c>
      <c r="H94" s="114">
        <v>0.30350372138744558</v>
      </c>
      <c r="I94" s="113">
        <v>5087</v>
      </c>
      <c r="J94" s="114">
        <v>0.17859148995927537</v>
      </c>
      <c r="K94" s="113">
        <v>141</v>
      </c>
      <c r="L94" s="114">
        <v>4.9501474512006743E-3</v>
      </c>
      <c r="M94" s="113">
        <v>84</v>
      </c>
      <c r="N94" s="114">
        <v>2.9490240134812527E-3</v>
      </c>
      <c r="O94" s="113">
        <v>219</v>
      </c>
      <c r="P94" s="114">
        <v>7.6885268922904084E-3</v>
      </c>
      <c r="Q94" s="113">
        <v>49</v>
      </c>
      <c r="R94" s="114">
        <v>1.720264007864064E-3</v>
      </c>
      <c r="S94" s="113">
        <v>38</v>
      </c>
      <c r="T94" s="114">
        <v>1.3340822918129476E-3</v>
      </c>
      <c r="U94" s="116"/>
      <c r="V94" s="117"/>
      <c r="W94" s="113">
        <v>192</v>
      </c>
      <c r="X94" s="114">
        <v>6.7406263165285772E-3</v>
      </c>
      <c r="Y94" s="118"/>
      <c r="Z94" s="117"/>
      <c r="AA94" s="118"/>
      <c r="AB94" s="117"/>
      <c r="AC94" s="113">
        <v>10</v>
      </c>
      <c r="AD94" s="114">
        <v>3.5107428731919675E-4</v>
      </c>
      <c r="AE94" s="119">
        <v>27278</v>
      </c>
      <c r="AF94" s="114">
        <v>0.95766044094930491</v>
      </c>
      <c r="AG94" s="113">
        <v>1206</v>
      </c>
      <c r="AH94" s="114">
        <v>4.2339559050695127E-2</v>
      </c>
      <c r="AI94" s="119">
        <v>28484</v>
      </c>
      <c r="AJ94" s="120">
        <v>0.5890600765174232</v>
      </c>
      <c r="AL94" s="121">
        <v>0</v>
      </c>
      <c r="AM94" s="120">
        <v>0</v>
      </c>
      <c r="AO94" s="121">
        <v>0</v>
      </c>
      <c r="AP94" s="120">
        <v>0</v>
      </c>
      <c r="AR94" s="122"/>
      <c r="AS94" s="117"/>
      <c r="AT94" s="123">
        <v>11901</v>
      </c>
      <c r="AU94" s="114">
        <v>0.41781350933857603</v>
      </c>
      <c r="AV94" s="116"/>
      <c r="AW94" s="117"/>
      <c r="AX94" s="116"/>
      <c r="AY94" s="117"/>
      <c r="AZ94" s="124" t="s">
        <v>203</v>
      </c>
      <c r="BA94" s="119">
        <v>11901</v>
      </c>
      <c r="BB94" s="125">
        <v>0.41781350933857603</v>
      </c>
      <c r="BC94" s="126">
        <v>4</v>
      </c>
      <c r="BD94" s="126"/>
      <c r="BE94" s="126">
        <v>2</v>
      </c>
      <c r="BF94" s="126">
        <v>3</v>
      </c>
      <c r="BG94" s="126"/>
      <c r="BH94" s="126">
        <v>5</v>
      </c>
      <c r="BI94" s="126"/>
      <c r="BJ94" s="126"/>
      <c r="BK94" s="126"/>
      <c r="BL94" s="126"/>
      <c r="BM94" s="126">
        <v>1</v>
      </c>
      <c r="BN94" s="126"/>
      <c r="BO94" s="126"/>
      <c r="BP94" s="124" t="s">
        <v>10</v>
      </c>
      <c r="BQ94" s="119">
        <v>8645</v>
      </c>
      <c r="BR94" s="114">
        <v>0.30350372138744558</v>
      </c>
      <c r="BS94" s="119">
        <v>3256</v>
      </c>
      <c r="BT94" s="127">
        <v>0.11430978795113045</v>
      </c>
    </row>
    <row r="95" spans="1:72" ht="17.100000000000001" customHeight="1">
      <c r="A95" s="111" t="s">
        <v>312</v>
      </c>
      <c r="B95" s="112">
        <v>7652</v>
      </c>
      <c r="C95" s="113">
        <v>68</v>
      </c>
      <c r="D95" s="114">
        <v>1.4715429560701147E-2</v>
      </c>
      <c r="E95" s="115">
        <v>1404</v>
      </c>
      <c r="F95" s="114">
        <v>0.30383033975330015</v>
      </c>
      <c r="G95" s="113">
        <v>735</v>
      </c>
      <c r="H95" s="114">
        <v>0.159056481281108</v>
      </c>
      <c r="I95" s="113">
        <v>1071</v>
      </c>
      <c r="J95" s="114">
        <v>0.23176801558104307</v>
      </c>
      <c r="K95" s="113">
        <v>17</v>
      </c>
      <c r="L95" s="114">
        <v>3.6788573901752868E-3</v>
      </c>
      <c r="M95" s="113">
        <v>1116</v>
      </c>
      <c r="N95" s="114">
        <v>0.24150616749621295</v>
      </c>
      <c r="O95" s="113">
        <v>8</v>
      </c>
      <c r="P95" s="114">
        <v>1.7312270071413113E-3</v>
      </c>
      <c r="Q95" s="113">
        <v>4</v>
      </c>
      <c r="R95" s="114">
        <v>8.6561350357065565E-4</v>
      </c>
      <c r="S95" s="113">
        <v>3</v>
      </c>
      <c r="T95" s="114">
        <v>6.4921012767799177E-4</v>
      </c>
      <c r="U95" s="116"/>
      <c r="V95" s="117"/>
      <c r="W95" s="113">
        <v>22</v>
      </c>
      <c r="X95" s="114">
        <v>4.7608742696386066E-3</v>
      </c>
      <c r="Y95" s="118"/>
      <c r="Z95" s="117"/>
      <c r="AA95" s="118"/>
      <c r="AB95" s="117"/>
      <c r="AC95" s="113">
        <v>1</v>
      </c>
      <c r="AD95" s="114">
        <v>2.1640337589266391E-4</v>
      </c>
      <c r="AE95" s="119">
        <v>4449</v>
      </c>
      <c r="AF95" s="114">
        <v>0.96277861934646181</v>
      </c>
      <c r="AG95" s="113">
        <v>172</v>
      </c>
      <c r="AH95" s="114">
        <v>3.7221380653538194E-2</v>
      </c>
      <c r="AI95" s="119">
        <v>4621</v>
      </c>
      <c r="AJ95" s="120">
        <v>0.6038944066910612</v>
      </c>
      <c r="AL95" s="121">
        <v>0</v>
      </c>
      <c r="AM95" s="120">
        <v>0</v>
      </c>
      <c r="AO95" s="121">
        <v>0</v>
      </c>
      <c r="AP95" s="120">
        <v>0</v>
      </c>
      <c r="AR95" s="122"/>
      <c r="AS95" s="117"/>
      <c r="AT95" s="123">
        <v>1458</v>
      </c>
      <c r="AU95" s="114">
        <v>0.31551612205150398</v>
      </c>
      <c r="AV95" s="116"/>
      <c r="AW95" s="117"/>
      <c r="AX95" s="116"/>
      <c r="AY95" s="117"/>
      <c r="AZ95" s="124" t="s">
        <v>203</v>
      </c>
      <c r="BA95" s="119">
        <v>1458</v>
      </c>
      <c r="BB95" s="125">
        <v>0.31551612205150398</v>
      </c>
      <c r="BC95" s="126">
        <v>5</v>
      </c>
      <c r="BD95" s="126"/>
      <c r="BE95" s="126">
        <v>4</v>
      </c>
      <c r="BF95" s="126">
        <v>3</v>
      </c>
      <c r="BG95" s="126"/>
      <c r="BH95" s="126">
        <v>2</v>
      </c>
      <c r="BI95" s="126"/>
      <c r="BJ95" s="126"/>
      <c r="BK95" s="126"/>
      <c r="BL95" s="126"/>
      <c r="BM95" s="126">
        <v>1</v>
      </c>
      <c r="BN95" s="126"/>
      <c r="BO95" s="126"/>
      <c r="BP95" s="124" t="s">
        <v>199</v>
      </c>
      <c r="BQ95" s="119">
        <v>1116</v>
      </c>
      <c r="BR95" s="114">
        <v>0.24150616749621295</v>
      </c>
      <c r="BS95" s="119">
        <v>342</v>
      </c>
      <c r="BT95" s="127">
        <v>7.4009954555291024E-2</v>
      </c>
    </row>
    <row r="96" spans="1:72" ht="17.100000000000001" customHeight="1">
      <c r="A96" s="111" t="s">
        <v>313</v>
      </c>
      <c r="B96" s="112">
        <v>20834</v>
      </c>
      <c r="C96" s="113">
        <v>5091</v>
      </c>
      <c r="D96" s="114">
        <v>0.35151556997859562</v>
      </c>
      <c r="E96" s="115">
        <v>5419</v>
      </c>
      <c r="F96" s="114">
        <v>0.37416281157218806</v>
      </c>
      <c r="G96" s="113">
        <v>3212</v>
      </c>
      <c r="H96" s="114">
        <v>0.22177725609335083</v>
      </c>
      <c r="I96" s="113">
        <v>74</v>
      </c>
      <c r="J96" s="114">
        <v>5.109438652212939E-3</v>
      </c>
      <c r="K96" s="113">
        <v>123</v>
      </c>
      <c r="L96" s="114">
        <v>8.4927155975971832E-3</v>
      </c>
      <c r="M96" s="113">
        <v>49</v>
      </c>
      <c r="N96" s="114">
        <v>3.3832769453842437E-3</v>
      </c>
      <c r="O96" s="113">
        <v>55</v>
      </c>
      <c r="P96" s="114">
        <v>3.7975557550231306E-3</v>
      </c>
      <c r="Q96" s="113">
        <v>11</v>
      </c>
      <c r="R96" s="114">
        <v>7.5951115100462616E-4</v>
      </c>
      <c r="S96" s="113">
        <v>7</v>
      </c>
      <c r="T96" s="114">
        <v>4.833252779120348E-4</v>
      </c>
      <c r="U96" s="116"/>
      <c r="V96" s="117"/>
      <c r="W96" s="113">
        <v>93</v>
      </c>
      <c r="X96" s="114">
        <v>6.4213215494027479E-3</v>
      </c>
      <c r="Y96" s="113">
        <v>46</v>
      </c>
      <c r="Z96" s="114">
        <v>3.1761375405648003E-3</v>
      </c>
      <c r="AA96" s="118"/>
      <c r="AB96" s="117"/>
      <c r="AC96" s="113">
        <v>4</v>
      </c>
      <c r="AD96" s="114">
        <v>2.7618587309259131E-4</v>
      </c>
      <c r="AE96" s="119">
        <v>14184</v>
      </c>
      <c r="AF96" s="114">
        <v>0.9793551059863288</v>
      </c>
      <c r="AG96" s="113">
        <v>299</v>
      </c>
      <c r="AH96" s="114">
        <v>2.06448940136712E-2</v>
      </c>
      <c r="AI96" s="119">
        <v>14483</v>
      </c>
      <c r="AJ96" s="120">
        <v>0.69516175482384568</v>
      </c>
      <c r="AL96" s="121">
        <v>0</v>
      </c>
      <c r="AM96" s="120">
        <v>0</v>
      </c>
      <c r="AO96" s="121">
        <v>0</v>
      </c>
      <c r="AP96" s="120">
        <v>0</v>
      </c>
      <c r="AR96" s="122"/>
      <c r="AS96" s="117"/>
      <c r="AT96" s="123">
        <v>5708</v>
      </c>
      <c r="AU96" s="114">
        <v>0.39411724090312783</v>
      </c>
      <c r="AV96" s="119">
        <v>3332</v>
      </c>
      <c r="AW96" s="114">
        <v>0.23006283228612856</v>
      </c>
      <c r="AX96" s="116"/>
      <c r="AY96" s="117"/>
      <c r="AZ96" s="124" t="s">
        <v>203</v>
      </c>
      <c r="BA96" s="119">
        <v>5708</v>
      </c>
      <c r="BB96" s="125">
        <v>0.39411724090312783</v>
      </c>
      <c r="BC96" s="126">
        <v>2</v>
      </c>
      <c r="BD96" s="126"/>
      <c r="BE96" s="126"/>
      <c r="BF96" s="126"/>
      <c r="BG96" s="126"/>
      <c r="BH96" s="126">
        <v>4</v>
      </c>
      <c r="BI96" s="126"/>
      <c r="BJ96" s="126"/>
      <c r="BK96" s="126"/>
      <c r="BL96" s="126"/>
      <c r="BM96" s="126">
        <v>1</v>
      </c>
      <c r="BN96" s="126">
        <v>3</v>
      </c>
      <c r="BO96" s="126"/>
      <c r="BP96" s="124" t="s">
        <v>7</v>
      </c>
      <c r="BQ96" s="119">
        <v>5091</v>
      </c>
      <c r="BR96" s="128">
        <v>0.35151556997859562</v>
      </c>
      <c r="BS96" s="119">
        <v>617</v>
      </c>
      <c r="BT96" s="127">
        <v>4.2601670924532209E-2</v>
      </c>
    </row>
    <row r="97" spans="1:72" ht="17.100000000000001" customHeight="1">
      <c r="A97" s="111" t="s">
        <v>314</v>
      </c>
      <c r="B97" s="112">
        <v>42733</v>
      </c>
      <c r="C97" s="113">
        <v>2833</v>
      </c>
      <c r="D97" s="114">
        <v>0.10302567459451596</v>
      </c>
      <c r="E97" s="115">
        <v>13359</v>
      </c>
      <c r="F97" s="114">
        <v>0.48581715033820644</v>
      </c>
      <c r="G97" s="113">
        <v>7445</v>
      </c>
      <c r="H97" s="114">
        <v>0.27074696341552112</v>
      </c>
      <c r="I97" s="113">
        <v>739</v>
      </c>
      <c r="J97" s="114">
        <v>2.6874681795039639E-2</v>
      </c>
      <c r="K97" s="113">
        <v>163</v>
      </c>
      <c r="L97" s="114">
        <v>5.9277038330060369E-3</v>
      </c>
      <c r="M97" s="113">
        <v>968</v>
      </c>
      <c r="N97" s="114">
        <v>3.5202560186195359E-2</v>
      </c>
      <c r="O97" s="113">
        <v>199</v>
      </c>
      <c r="P97" s="114">
        <v>7.2368899556331367E-3</v>
      </c>
      <c r="Q97" s="113">
        <v>64</v>
      </c>
      <c r="R97" s="114">
        <v>2.3274419957815115E-3</v>
      </c>
      <c r="S97" s="113">
        <v>14</v>
      </c>
      <c r="T97" s="114">
        <v>5.0912793657720561E-4</v>
      </c>
      <c r="U97" s="116"/>
      <c r="V97" s="117"/>
      <c r="W97" s="113">
        <v>308</v>
      </c>
      <c r="X97" s="114">
        <v>1.1200814604698524E-2</v>
      </c>
      <c r="Y97" s="118"/>
      <c r="Z97" s="117"/>
      <c r="AA97" s="118"/>
      <c r="AB97" s="117"/>
      <c r="AC97" s="113">
        <v>52</v>
      </c>
      <c r="AD97" s="114">
        <v>1.8910466215724779E-3</v>
      </c>
      <c r="AE97" s="119">
        <v>26144</v>
      </c>
      <c r="AF97" s="114">
        <v>0.95076005527674745</v>
      </c>
      <c r="AG97" s="113">
        <v>1354</v>
      </c>
      <c r="AH97" s="114">
        <v>4.9239944723252597E-2</v>
      </c>
      <c r="AI97" s="119">
        <v>27498</v>
      </c>
      <c r="AJ97" s="120">
        <v>0.64348395853321794</v>
      </c>
      <c r="AL97" s="121">
        <v>0</v>
      </c>
      <c r="AM97" s="120">
        <v>0</v>
      </c>
      <c r="AO97" s="121">
        <v>0</v>
      </c>
      <c r="AP97" s="120">
        <v>0</v>
      </c>
      <c r="AR97" s="122"/>
      <c r="AS97" s="117"/>
      <c r="AT97" s="123">
        <v>14107</v>
      </c>
      <c r="AU97" s="114">
        <v>0.51301912866390287</v>
      </c>
      <c r="AV97" s="116"/>
      <c r="AW97" s="117"/>
      <c r="AX97" s="116"/>
      <c r="AY97" s="117"/>
      <c r="AZ97" s="124" t="s">
        <v>203</v>
      </c>
      <c r="BA97" s="119">
        <v>14107</v>
      </c>
      <c r="BB97" s="125">
        <v>0.51301912866390287</v>
      </c>
      <c r="BC97" s="126">
        <v>3</v>
      </c>
      <c r="BD97" s="126"/>
      <c r="BE97" s="126">
        <v>2</v>
      </c>
      <c r="BF97" s="126">
        <v>5</v>
      </c>
      <c r="BG97" s="126"/>
      <c r="BH97" s="126">
        <v>4</v>
      </c>
      <c r="BI97" s="126"/>
      <c r="BJ97" s="126"/>
      <c r="BK97" s="126"/>
      <c r="BL97" s="126"/>
      <c r="BM97" s="126">
        <v>1</v>
      </c>
      <c r="BN97" s="126"/>
      <c r="BO97" s="126"/>
      <c r="BP97" s="124" t="s">
        <v>10</v>
      </c>
      <c r="BQ97" s="119">
        <v>7445</v>
      </c>
      <c r="BR97" s="114">
        <v>0.27074696341552112</v>
      </c>
      <c r="BS97" s="119">
        <v>6662</v>
      </c>
      <c r="BT97" s="127">
        <v>0.24227216524838174</v>
      </c>
    </row>
    <row r="98" spans="1:72" ht="17.100000000000001" customHeight="1">
      <c r="A98" s="111" t="s">
        <v>315</v>
      </c>
      <c r="B98" s="112">
        <v>20171</v>
      </c>
      <c r="C98" s="113">
        <v>3696</v>
      </c>
      <c r="D98" s="114">
        <v>0.27463218903254571</v>
      </c>
      <c r="E98" s="115">
        <v>5030</v>
      </c>
      <c r="F98" s="114">
        <v>0.37375538713033141</v>
      </c>
      <c r="G98" s="113">
        <v>3151</v>
      </c>
      <c r="H98" s="114">
        <v>0.23413582998959726</v>
      </c>
      <c r="I98" s="113">
        <v>544</v>
      </c>
      <c r="J98" s="114">
        <v>4.0422053796998071E-2</v>
      </c>
      <c r="K98" s="113">
        <v>106</v>
      </c>
      <c r="L98" s="114">
        <v>7.8763560707385948E-3</v>
      </c>
      <c r="M98" s="113">
        <v>207</v>
      </c>
      <c r="N98" s="114">
        <v>1.5381185911725367E-2</v>
      </c>
      <c r="O98" s="113">
        <v>90</v>
      </c>
      <c r="P98" s="114">
        <v>6.6874721355327689E-3</v>
      </c>
      <c r="Q98" s="113">
        <v>27</v>
      </c>
      <c r="R98" s="114">
        <v>2.0062416406598305E-3</v>
      </c>
      <c r="S98" s="113">
        <v>10</v>
      </c>
      <c r="T98" s="114">
        <v>7.4305245950364099E-4</v>
      </c>
      <c r="U98" s="116"/>
      <c r="V98" s="117"/>
      <c r="W98" s="113">
        <v>78</v>
      </c>
      <c r="X98" s="114">
        <v>5.7958091841283999E-3</v>
      </c>
      <c r="Y98" s="118"/>
      <c r="Z98" s="117"/>
      <c r="AA98" s="118"/>
      <c r="AB98" s="117"/>
      <c r="AC98" s="113">
        <v>0</v>
      </c>
      <c r="AD98" s="114">
        <v>0</v>
      </c>
      <c r="AE98" s="119">
        <v>12939</v>
      </c>
      <c r="AF98" s="114">
        <v>0.96143557735176099</v>
      </c>
      <c r="AG98" s="113">
        <v>519</v>
      </c>
      <c r="AH98" s="114">
        <v>3.8564422648238963E-2</v>
      </c>
      <c r="AI98" s="119">
        <v>13458</v>
      </c>
      <c r="AJ98" s="120">
        <v>0.66719547865747852</v>
      </c>
      <c r="AL98" s="121">
        <v>0</v>
      </c>
      <c r="AM98" s="120">
        <v>0</v>
      </c>
      <c r="AO98" s="121">
        <v>0</v>
      </c>
      <c r="AP98" s="120">
        <v>0</v>
      </c>
      <c r="AR98" s="122"/>
      <c r="AS98" s="117"/>
      <c r="AT98" s="123">
        <v>5341</v>
      </c>
      <c r="AU98" s="114">
        <v>0.39686431862089466</v>
      </c>
      <c r="AV98" s="116"/>
      <c r="AW98" s="117"/>
      <c r="AX98" s="116"/>
      <c r="AY98" s="117"/>
      <c r="AZ98" s="124" t="s">
        <v>203</v>
      </c>
      <c r="BA98" s="119">
        <v>5341</v>
      </c>
      <c r="BB98" s="125">
        <v>0.39686431862089466</v>
      </c>
      <c r="BC98" s="126">
        <v>2</v>
      </c>
      <c r="BD98" s="126"/>
      <c r="BE98" s="126">
        <v>3</v>
      </c>
      <c r="BF98" s="126">
        <v>4</v>
      </c>
      <c r="BG98" s="126"/>
      <c r="BH98" s="126">
        <v>5</v>
      </c>
      <c r="BI98" s="126"/>
      <c r="BJ98" s="126"/>
      <c r="BK98" s="126"/>
      <c r="BL98" s="126"/>
      <c r="BM98" s="126">
        <v>1</v>
      </c>
      <c r="BN98" s="126"/>
      <c r="BO98" s="126"/>
      <c r="BP98" s="124" t="s">
        <v>7</v>
      </c>
      <c r="BQ98" s="119">
        <v>3696</v>
      </c>
      <c r="BR98" s="114">
        <v>0.27463218903254571</v>
      </c>
      <c r="BS98" s="119">
        <v>1645</v>
      </c>
      <c r="BT98" s="127">
        <v>0.12223212958834895</v>
      </c>
    </row>
    <row r="99" spans="1:72" ht="17.100000000000001" customHeight="1">
      <c r="A99" s="111" t="s">
        <v>316</v>
      </c>
      <c r="B99" s="112">
        <v>49855</v>
      </c>
      <c r="C99" s="113">
        <v>5873</v>
      </c>
      <c r="D99" s="114">
        <v>0.19166503491939169</v>
      </c>
      <c r="E99" s="115">
        <v>12328</v>
      </c>
      <c r="F99" s="114">
        <v>0.40232360811957446</v>
      </c>
      <c r="G99" s="113">
        <v>1570</v>
      </c>
      <c r="H99" s="114">
        <v>5.1236864434436397E-2</v>
      </c>
      <c r="I99" s="113">
        <v>829</v>
      </c>
      <c r="J99" s="114">
        <v>2.7054369819202402E-2</v>
      </c>
      <c r="K99" s="113">
        <v>425</v>
      </c>
      <c r="L99" s="114">
        <v>1.3869851837347432E-2</v>
      </c>
      <c r="M99" s="113">
        <v>7974</v>
      </c>
      <c r="N99" s="114">
        <v>0.26023105541413744</v>
      </c>
      <c r="O99" s="113">
        <v>128</v>
      </c>
      <c r="P99" s="114">
        <v>4.1772730239540501E-3</v>
      </c>
      <c r="Q99" s="113">
        <v>65</v>
      </c>
      <c r="R99" s="114">
        <v>2.121271457476666E-3</v>
      </c>
      <c r="S99" s="113">
        <v>40</v>
      </c>
      <c r="T99" s="114">
        <v>1.3053978199856406E-3</v>
      </c>
      <c r="U99" s="116"/>
      <c r="V99" s="117"/>
      <c r="W99" s="113">
        <v>135</v>
      </c>
      <c r="X99" s="114">
        <v>4.4057176424515372E-3</v>
      </c>
      <c r="Y99" s="118"/>
      <c r="Z99" s="117"/>
      <c r="AA99" s="118"/>
      <c r="AB99" s="117"/>
      <c r="AC99" s="113">
        <v>33</v>
      </c>
      <c r="AD99" s="114">
        <v>1.0769532014881535E-3</v>
      </c>
      <c r="AE99" s="119">
        <v>29400</v>
      </c>
      <c r="AF99" s="114">
        <v>0.95946739768944589</v>
      </c>
      <c r="AG99" s="113">
        <v>1242</v>
      </c>
      <c r="AH99" s="114">
        <v>4.0532602310554139E-2</v>
      </c>
      <c r="AI99" s="119">
        <v>30642</v>
      </c>
      <c r="AJ99" s="120">
        <v>0.61462240497442588</v>
      </c>
      <c r="AL99" s="121">
        <v>0</v>
      </c>
      <c r="AM99" s="120">
        <v>0</v>
      </c>
      <c r="AO99" s="121">
        <v>0</v>
      </c>
      <c r="AP99" s="120">
        <v>0</v>
      </c>
      <c r="AR99" s="122"/>
      <c r="AS99" s="117"/>
      <c r="AT99" s="123">
        <v>13121</v>
      </c>
      <c r="AU99" s="114">
        <v>0.42820311990078974</v>
      </c>
      <c r="AV99" s="116"/>
      <c r="AW99" s="117"/>
      <c r="AX99" s="116"/>
      <c r="AY99" s="117"/>
      <c r="AZ99" s="124" t="s">
        <v>203</v>
      </c>
      <c r="BA99" s="119">
        <v>13121</v>
      </c>
      <c r="BB99" s="125">
        <v>0.42820311990078974</v>
      </c>
      <c r="BC99" s="126">
        <v>3</v>
      </c>
      <c r="BD99" s="126"/>
      <c r="BE99" s="126">
        <v>4</v>
      </c>
      <c r="BF99" s="126">
        <v>5</v>
      </c>
      <c r="BG99" s="126"/>
      <c r="BH99" s="126">
        <v>2</v>
      </c>
      <c r="BI99" s="126"/>
      <c r="BJ99" s="126"/>
      <c r="BK99" s="126"/>
      <c r="BL99" s="126"/>
      <c r="BM99" s="126">
        <v>1</v>
      </c>
      <c r="BN99" s="126"/>
      <c r="BO99" s="126"/>
      <c r="BP99" s="124" t="s">
        <v>199</v>
      </c>
      <c r="BQ99" s="119">
        <v>7974</v>
      </c>
      <c r="BR99" s="114">
        <v>0.26023105541413744</v>
      </c>
      <c r="BS99" s="119">
        <v>5147</v>
      </c>
      <c r="BT99" s="127">
        <v>0.16797206448665231</v>
      </c>
    </row>
    <row r="100" spans="1:72" ht="17.100000000000001" customHeight="1">
      <c r="A100" s="111" t="s">
        <v>317</v>
      </c>
      <c r="B100" s="112">
        <v>57045</v>
      </c>
      <c r="C100" s="113">
        <v>4376</v>
      </c>
      <c r="D100" s="114">
        <v>0.14698868025931275</v>
      </c>
      <c r="E100" s="115">
        <v>14921</v>
      </c>
      <c r="F100" s="114">
        <v>0.50119243559168314</v>
      </c>
      <c r="G100" s="113">
        <v>3290</v>
      </c>
      <c r="H100" s="114">
        <v>0.1105102280743005</v>
      </c>
      <c r="I100" s="113">
        <v>1160</v>
      </c>
      <c r="J100" s="114">
        <v>3.89640925733096E-2</v>
      </c>
      <c r="K100" s="113">
        <v>305</v>
      </c>
      <c r="L100" s="114">
        <v>1.0244869167982265E-2</v>
      </c>
      <c r="M100" s="113">
        <v>3328</v>
      </c>
      <c r="N100" s="114">
        <v>0.11178663800342616</v>
      </c>
      <c r="O100" s="113">
        <v>219</v>
      </c>
      <c r="P100" s="114">
        <v>7.356151959961036E-3</v>
      </c>
      <c r="Q100" s="113">
        <v>159</v>
      </c>
      <c r="R100" s="114">
        <v>5.3407678613415742E-3</v>
      </c>
      <c r="S100" s="113">
        <v>84</v>
      </c>
      <c r="T100" s="114">
        <v>2.8215377380672465E-3</v>
      </c>
      <c r="U100" s="116"/>
      <c r="V100" s="117"/>
      <c r="W100" s="113">
        <v>560</v>
      </c>
      <c r="X100" s="114">
        <v>1.8810251587114978E-2</v>
      </c>
      <c r="Y100" s="118"/>
      <c r="Z100" s="117"/>
      <c r="AA100" s="118"/>
      <c r="AB100" s="117"/>
      <c r="AC100" s="113">
        <v>102</v>
      </c>
      <c r="AD100" s="114">
        <v>3.4261529676530853E-3</v>
      </c>
      <c r="AE100" s="119">
        <v>28504</v>
      </c>
      <c r="AF100" s="114">
        <v>0.95744180578415239</v>
      </c>
      <c r="AG100" s="113">
        <v>1267</v>
      </c>
      <c r="AH100" s="114">
        <v>4.2558194215847639E-2</v>
      </c>
      <c r="AI100" s="119">
        <v>29771</v>
      </c>
      <c r="AJ100" s="120">
        <v>0.52188623016916469</v>
      </c>
      <c r="AL100" s="121">
        <v>0</v>
      </c>
      <c r="AM100" s="120">
        <v>0</v>
      </c>
      <c r="AO100" s="121">
        <v>0</v>
      </c>
      <c r="AP100" s="120">
        <v>0</v>
      </c>
      <c r="AR100" s="122"/>
      <c r="AS100" s="117"/>
      <c r="AT100" s="123">
        <v>16248</v>
      </c>
      <c r="AU100" s="114">
        <v>0.54576601390615032</v>
      </c>
      <c r="AV100" s="116"/>
      <c r="AW100" s="117"/>
      <c r="AX100" s="116"/>
      <c r="AY100" s="117"/>
      <c r="AZ100" s="124" t="s">
        <v>203</v>
      </c>
      <c r="BA100" s="119">
        <v>16248</v>
      </c>
      <c r="BB100" s="125">
        <v>0.54576601390615032</v>
      </c>
      <c r="BC100" s="126">
        <v>2</v>
      </c>
      <c r="BD100" s="126"/>
      <c r="BE100" s="126">
        <v>4</v>
      </c>
      <c r="BF100" s="126">
        <v>5</v>
      </c>
      <c r="BG100" s="126"/>
      <c r="BH100" s="126">
        <v>3</v>
      </c>
      <c r="BI100" s="126"/>
      <c r="BJ100" s="126"/>
      <c r="BK100" s="126"/>
      <c r="BL100" s="126"/>
      <c r="BM100" s="126">
        <v>1</v>
      </c>
      <c r="BN100" s="126"/>
      <c r="BO100" s="126"/>
      <c r="BP100" s="124" t="s">
        <v>7</v>
      </c>
      <c r="BQ100" s="119">
        <v>4376</v>
      </c>
      <c r="BR100" s="114">
        <v>0.14698868025931275</v>
      </c>
      <c r="BS100" s="119">
        <v>11872</v>
      </c>
      <c r="BT100" s="127">
        <v>0.39877733364683754</v>
      </c>
    </row>
    <row r="101" spans="1:72" ht="17.100000000000001" customHeight="1">
      <c r="A101" s="111" t="s">
        <v>318</v>
      </c>
      <c r="B101" s="112">
        <v>6806</v>
      </c>
      <c r="C101" s="113">
        <v>845</v>
      </c>
      <c r="D101" s="114">
        <v>0.1722029753413491</v>
      </c>
      <c r="E101" s="115">
        <v>2105</v>
      </c>
      <c r="F101" s="114">
        <v>0.42897900957815366</v>
      </c>
      <c r="G101" s="113">
        <v>1361</v>
      </c>
      <c r="H101" s="114">
        <v>0.27735887507642143</v>
      </c>
      <c r="I101" s="113">
        <v>98</v>
      </c>
      <c r="J101" s="114">
        <v>1.9971469329529243E-2</v>
      </c>
      <c r="K101" s="113">
        <v>28</v>
      </c>
      <c r="L101" s="114">
        <v>5.7061340941512127E-3</v>
      </c>
      <c r="M101" s="113">
        <v>280</v>
      </c>
      <c r="N101" s="114">
        <v>5.7061340941512127E-2</v>
      </c>
      <c r="O101" s="113">
        <v>25</v>
      </c>
      <c r="P101" s="114">
        <v>5.0947625840635823E-3</v>
      </c>
      <c r="Q101" s="113">
        <v>8</v>
      </c>
      <c r="R101" s="114">
        <v>1.6303240269003464E-3</v>
      </c>
      <c r="S101" s="113">
        <v>4</v>
      </c>
      <c r="T101" s="114">
        <v>8.1516201345017318E-4</v>
      </c>
      <c r="U101" s="116"/>
      <c r="V101" s="117"/>
      <c r="W101" s="113">
        <v>25</v>
      </c>
      <c r="X101" s="114">
        <v>5.0947625840635823E-3</v>
      </c>
      <c r="Y101" s="118"/>
      <c r="Z101" s="117"/>
      <c r="AA101" s="118"/>
      <c r="AB101" s="117"/>
      <c r="AC101" s="113">
        <v>1</v>
      </c>
      <c r="AD101" s="114">
        <v>2.037905033625433E-4</v>
      </c>
      <c r="AE101" s="119">
        <v>4780</v>
      </c>
      <c r="AF101" s="114">
        <v>0.97411860607295697</v>
      </c>
      <c r="AG101" s="113">
        <v>127</v>
      </c>
      <c r="AH101" s="114">
        <v>2.5881393927043E-2</v>
      </c>
      <c r="AI101" s="119">
        <v>4907</v>
      </c>
      <c r="AJ101" s="120">
        <v>0.72098148692330299</v>
      </c>
      <c r="AL101" s="121">
        <v>0</v>
      </c>
      <c r="AM101" s="120">
        <v>0</v>
      </c>
      <c r="AO101" s="121">
        <v>0</v>
      </c>
      <c r="AP101" s="120">
        <v>0</v>
      </c>
      <c r="AR101" s="122"/>
      <c r="AS101" s="117"/>
      <c r="AT101" s="123">
        <v>2195</v>
      </c>
      <c r="AU101" s="114">
        <v>0.44732015488078253</v>
      </c>
      <c r="AV101" s="116"/>
      <c r="AW101" s="117"/>
      <c r="AX101" s="116"/>
      <c r="AY101" s="117"/>
      <c r="AZ101" s="124" t="s">
        <v>203</v>
      </c>
      <c r="BA101" s="119">
        <v>2195</v>
      </c>
      <c r="BB101" s="125">
        <v>0.44732015488078253</v>
      </c>
      <c r="BC101" s="126">
        <v>3</v>
      </c>
      <c r="BD101" s="126"/>
      <c r="BE101" s="126">
        <v>2</v>
      </c>
      <c r="BF101" s="126">
        <v>5</v>
      </c>
      <c r="BG101" s="126"/>
      <c r="BH101" s="126">
        <v>4</v>
      </c>
      <c r="BI101" s="126"/>
      <c r="BJ101" s="126"/>
      <c r="BK101" s="126"/>
      <c r="BL101" s="126"/>
      <c r="BM101" s="126">
        <v>1</v>
      </c>
      <c r="BN101" s="126"/>
      <c r="BO101" s="126"/>
      <c r="BP101" s="124" t="s">
        <v>10</v>
      </c>
      <c r="BQ101" s="119">
        <v>1361</v>
      </c>
      <c r="BR101" s="114">
        <v>0.27735887507642143</v>
      </c>
      <c r="BS101" s="119">
        <v>834</v>
      </c>
      <c r="BT101" s="127">
        <v>0.1699612798043611</v>
      </c>
    </row>
    <row r="102" spans="1:72" ht="17.100000000000001" customHeight="1">
      <c r="A102" s="111" t="s">
        <v>319</v>
      </c>
      <c r="B102" s="112">
        <v>46986</v>
      </c>
      <c r="C102" s="113">
        <v>2823</v>
      </c>
      <c r="D102" s="114">
        <v>0.10677812239957636</v>
      </c>
      <c r="E102" s="115">
        <v>9798</v>
      </c>
      <c r="F102" s="114">
        <v>0.37060292003933731</v>
      </c>
      <c r="G102" s="113">
        <v>5078</v>
      </c>
      <c r="H102" s="114">
        <v>0.19207201755049549</v>
      </c>
      <c r="I102" s="113">
        <v>5165</v>
      </c>
      <c r="J102" s="114">
        <v>0.19536273545653982</v>
      </c>
      <c r="K102" s="113">
        <v>243</v>
      </c>
      <c r="L102" s="114">
        <v>9.191315530675542E-3</v>
      </c>
      <c r="M102" s="113">
        <v>1410</v>
      </c>
      <c r="N102" s="114">
        <v>5.3332324684166731E-2</v>
      </c>
      <c r="O102" s="113">
        <v>162</v>
      </c>
      <c r="P102" s="114">
        <v>6.1275436871170283E-3</v>
      </c>
      <c r="Q102" s="113">
        <v>63</v>
      </c>
      <c r="R102" s="114">
        <v>2.3829336561010665E-3</v>
      </c>
      <c r="S102" s="113">
        <v>44</v>
      </c>
      <c r="T102" s="114">
        <v>1.664271124895983E-3</v>
      </c>
      <c r="U102" s="116"/>
      <c r="V102" s="117"/>
      <c r="W102" s="113">
        <v>181</v>
      </c>
      <c r="X102" s="114">
        <v>6.8462062183221118E-3</v>
      </c>
      <c r="Y102" s="118"/>
      <c r="Z102" s="117"/>
      <c r="AA102" s="118"/>
      <c r="AB102" s="117"/>
      <c r="AC102" s="113">
        <v>12</v>
      </c>
      <c r="AD102" s="114">
        <v>4.5389212497163174E-4</v>
      </c>
      <c r="AE102" s="119">
        <v>24979</v>
      </c>
      <c r="AF102" s="114">
        <v>0.94481428247219912</v>
      </c>
      <c r="AG102" s="113">
        <v>1459</v>
      </c>
      <c r="AH102" s="114">
        <v>5.5185717527800895E-2</v>
      </c>
      <c r="AI102" s="119">
        <v>26438</v>
      </c>
      <c r="AJ102" s="120">
        <v>0.56267824458349291</v>
      </c>
      <c r="AL102" s="121">
        <v>0</v>
      </c>
      <c r="AM102" s="120">
        <v>0</v>
      </c>
      <c r="AO102" s="121">
        <v>0</v>
      </c>
      <c r="AP102" s="120">
        <v>0</v>
      </c>
      <c r="AR102" s="122"/>
      <c r="AS102" s="117"/>
      <c r="AT102" s="123">
        <v>10491</v>
      </c>
      <c r="AU102" s="114">
        <v>0.39681519025644907</v>
      </c>
      <c r="AV102" s="116"/>
      <c r="AW102" s="117"/>
      <c r="AX102" s="116"/>
      <c r="AY102" s="117"/>
      <c r="AZ102" s="124" t="s">
        <v>203</v>
      </c>
      <c r="BA102" s="119">
        <v>10491</v>
      </c>
      <c r="BB102" s="125">
        <v>0.39681519025644907</v>
      </c>
      <c r="BC102" s="126">
        <v>4</v>
      </c>
      <c r="BD102" s="126"/>
      <c r="BE102" s="126">
        <v>3</v>
      </c>
      <c r="BF102" s="126">
        <v>2</v>
      </c>
      <c r="BG102" s="126"/>
      <c r="BH102" s="126">
        <v>5</v>
      </c>
      <c r="BI102" s="126"/>
      <c r="BJ102" s="126"/>
      <c r="BK102" s="126"/>
      <c r="BL102" s="126"/>
      <c r="BM102" s="126">
        <v>1</v>
      </c>
      <c r="BN102" s="126"/>
      <c r="BO102" s="126"/>
      <c r="BP102" s="124" t="s">
        <v>11</v>
      </c>
      <c r="BQ102" s="119">
        <v>5165</v>
      </c>
      <c r="BR102" s="114">
        <v>0.19536273545653982</v>
      </c>
      <c r="BS102" s="119">
        <v>5326</v>
      </c>
      <c r="BT102" s="127">
        <v>0.20145245479990925</v>
      </c>
    </row>
    <row r="103" spans="1:72" ht="17.100000000000001" customHeight="1">
      <c r="A103" s="111" t="s">
        <v>320</v>
      </c>
      <c r="B103" s="112">
        <v>50379</v>
      </c>
      <c r="C103" s="113">
        <v>4575</v>
      </c>
      <c r="D103" s="114">
        <v>0.15428976123027113</v>
      </c>
      <c r="E103" s="115">
        <v>14918</v>
      </c>
      <c r="F103" s="114">
        <v>0.50310265749359229</v>
      </c>
      <c r="G103" s="113">
        <v>4655</v>
      </c>
      <c r="H103" s="114">
        <v>0.15698772426817753</v>
      </c>
      <c r="I103" s="113">
        <v>768</v>
      </c>
      <c r="J103" s="114">
        <v>2.5900445163901255E-2</v>
      </c>
      <c r="K103" s="113">
        <v>317</v>
      </c>
      <c r="L103" s="114">
        <v>1.0690678537704033E-2</v>
      </c>
      <c r="M103" s="113">
        <v>2622</v>
      </c>
      <c r="N103" s="114">
        <v>8.8425738567381632E-2</v>
      </c>
      <c r="O103" s="113">
        <v>235</v>
      </c>
      <c r="P103" s="114">
        <v>7.9252664238499936E-3</v>
      </c>
      <c r="Q103" s="113">
        <v>122</v>
      </c>
      <c r="R103" s="114">
        <v>4.1143936328072303E-3</v>
      </c>
      <c r="S103" s="113">
        <v>86</v>
      </c>
      <c r="T103" s="114">
        <v>2.9003102657493593E-3</v>
      </c>
      <c r="U103" s="116"/>
      <c r="V103" s="117"/>
      <c r="W103" s="113">
        <v>200</v>
      </c>
      <c r="X103" s="114">
        <v>6.7449075947659514E-3</v>
      </c>
      <c r="Y103" s="118"/>
      <c r="Z103" s="117"/>
      <c r="AA103" s="118"/>
      <c r="AB103" s="117"/>
      <c r="AC103" s="113">
        <v>20</v>
      </c>
      <c r="AD103" s="114">
        <v>6.7449075947659514E-4</v>
      </c>
      <c r="AE103" s="119">
        <v>28518</v>
      </c>
      <c r="AF103" s="114">
        <v>0.9617563739376771</v>
      </c>
      <c r="AG103" s="113">
        <v>1134</v>
      </c>
      <c r="AH103" s="114">
        <v>3.8243626062322948E-2</v>
      </c>
      <c r="AI103" s="119">
        <v>29652</v>
      </c>
      <c r="AJ103" s="120">
        <v>0.58857857440600247</v>
      </c>
      <c r="AL103" s="121">
        <v>0</v>
      </c>
      <c r="AM103" s="120">
        <v>0</v>
      </c>
      <c r="AO103" s="121">
        <v>0</v>
      </c>
      <c r="AP103" s="120">
        <v>0</v>
      </c>
      <c r="AR103" s="122"/>
      <c r="AS103" s="117"/>
      <c r="AT103" s="123">
        <v>15878</v>
      </c>
      <c r="AU103" s="114">
        <v>0.53547821394846895</v>
      </c>
      <c r="AV103" s="116"/>
      <c r="AW103" s="117"/>
      <c r="AX103" s="116"/>
      <c r="AY103" s="117"/>
      <c r="AZ103" s="124" t="s">
        <v>203</v>
      </c>
      <c r="BA103" s="119">
        <v>15878</v>
      </c>
      <c r="BB103" s="125">
        <v>0.53547821394846895</v>
      </c>
      <c r="BC103" s="126">
        <v>3</v>
      </c>
      <c r="BD103" s="126"/>
      <c r="BE103" s="126">
        <v>2</v>
      </c>
      <c r="BF103" s="126">
        <v>5</v>
      </c>
      <c r="BG103" s="126"/>
      <c r="BH103" s="126">
        <v>4</v>
      </c>
      <c r="BI103" s="126"/>
      <c r="BJ103" s="126"/>
      <c r="BK103" s="126"/>
      <c r="BL103" s="126"/>
      <c r="BM103" s="126">
        <v>1</v>
      </c>
      <c r="BN103" s="126"/>
      <c r="BO103" s="126"/>
      <c r="BP103" s="124" t="s">
        <v>10</v>
      </c>
      <c r="BQ103" s="119">
        <v>4655</v>
      </c>
      <c r="BR103" s="114">
        <v>0.15698772426817753</v>
      </c>
      <c r="BS103" s="119">
        <v>11223</v>
      </c>
      <c r="BT103" s="127">
        <v>0.37849048968029142</v>
      </c>
    </row>
    <row r="104" spans="1:72" ht="17.100000000000001" customHeight="1">
      <c r="A104" s="111" t="s">
        <v>321</v>
      </c>
      <c r="B104" s="112">
        <v>35632</v>
      </c>
      <c r="C104" s="113">
        <v>6040</v>
      </c>
      <c r="D104" s="114">
        <v>0.27397260273972601</v>
      </c>
      <c r="E104" s="115">
        <v>8717</v>
      </c>
      <c r="F104" s="114">
        <v>0.39540052617254828</v>
      </c>
      <c r="G104" s="113">
        <v>4574</v>
      </c>
      <c r="H104" s="114">
        <v>0.20747527896217</v>
      </c>
      <c r="I104" s="113">
        <v>851</v>
      </c>
      <c r="J104" s="114">
        <v>3.8601106776739544E-2</v>
      </c>
      <c r="K104" s="113">
        <v>226</v>
      </c>
      <c r="L104" s="114">
        <v>1.025129275151955E-2</v>
      </c>
      <c r="M104" s="113">
        <v>597</v>
      </c>
      <c r="N104" s="114">
        <v>2.7079742356890139E-2</v>
      </c>
      <c r="O104" s="113">
        <v>124</v>
      </c>
      <c r="P104" s="114">
        <v>5.6246031026036467E-3</v>
      </c>
      <c r="Q104" s="113">
        <v>65</v>
      </c>
      <c r="R104" s="114">
        <v>2.9483806586228793E-3</v>
      </c>
      <c r="S104" s="113">
        <v>42</v>
      </c>
      <c r="T104" s="114">
        <v>1.9051075024947837E-3</v>
      </c>
      <c r="U104" s="116"/>
      <c r="V104" s="117"/>
      <c r="W104" s="113">
        <v>77</v>
      </c>
      <c r="X104" s="114">
        <v>3.4926970879071034E-3</v>
      </c>
      <c r="Y104" s="118"/>
      <c r="Z104" s="117"/>
      <c r="AA104" s="118"/>
      <c r="AB104" s="117"/>
      <c r="AC104" s="113">
        <v>19</v>
      </c>
      <c r="AD104" s="114">
        <v>8.6183434636668784E-4</v>
      </c>
      <c r="AE104" s="119">
        <v>21332</v>
      </c>
      <c r="AF104" s="114">
        <v>0.96761317245758871</v>
      </c>
      <c r="AG104" s="113">
        <v>714</v>
      </c>
      <c r="AH104" s="114">
        <v>3.2386827542411324E-2</v>
      </c>
      <c r="AI104" s="119">
        <v>22046</v>
      </c>
      <c r="AJ104" s="120">
        <v>0.61871351594072743</v>
      </c>
      <c r="AL104" s="121">
        <v>0</v>
      </c>
      <c r="AM104" s="120">
        <v>0</v>
      </c>
      <c r="AO104" s="121">
        <v>0</v>
      </c>
      <c r="AP104" s="120">
        <v>0</v>
      </c>
      <c r="AR104" s="122"/>
      <c r="AS104" s="117"/>
      <c r="AT104" s="123">
        <v>9251</v>
      </c>
      <c r="AU104" s="114">
        <v>0.41962260727569628</v>
      </c>
      <c r="AV104" s="116"/>
      <c r="AW104" s="117"/>
      <c r="AX104" s="116"/>
      <c r="AY104" s="117"/>
      <c r="AZ104" s="124" t="s">
        <v>203</v>
      </c>
      <c r="BA104" s="119">
        <v>9251</v>
      </c>
      <c r="BB104" s="125">
        <v>0.41962260727569628</v>
      </c>
      <c r="BC104" s="126">
        <v>2</v>
      </c>
      <c r="BD104" s="126"/>
      <c r="BE104" s="126">
        <v>3</v>
      </c>
      <c r="BF104" s="126">
        <v>4</v>
      </c>
      <c r="BG104" s="126"/>
      <c r="BH104" s="126">
        <v>5</v>
      </c>
      <c r="BI104" s="126"/>
      <c r="BJ104" s="126"/>
      <c r="BK104" s="126"/>
      <c r="BL104" s="126"/>
      <c r="BM104" s="126">
        <v>1</v>
      </c>
      <c r="BN104" s="126"/>
      <c r="BO104" s="126"/>
      <c r="BP104" s="124" t="s">
        <v>7</v>
      </c>
      <c r="BQ104" s="119">
        <v>6040</v>
      </c>
      <c r="BR104" s="114">
        <v>0.27397260273972601</v>
      </c>
      <c r="BS104" s="119">
        <v>3211</v>
      </c>
      <c r="BT104" s="127">
        <v>0.14565000453597027</v>
      </c>
    </row>
    <row r="105" spans="1:72" ht="17.100000000000001" customHeight="1">
      <c r="A105" s="111" t="s">
        <v>322</v>
      </c>
      <c r="B105" s="112">
        <v>16636</v>
      </c>
      <c r="C105" s="113">
        <v>387</v>
      </c>
      <c r="D105" s="114">
        <v>3.5319886830336773E-2</v>
      </c>
      <c r="E105" s="115">
        <v>3760</v>
      </c>
      <c r="F105" s="114">
        <v>0.34315962398466732</v>
      </c>
      <c r="G105" s="113">
        <v>4871</v>
      </c>
      <c r="H105" s="114">
        <v>0.44455599160354109</v>
      </c>
      <c r="I105" s="113">
        <v>448</v>
      </c>
      <c r="J105" s="114">
        <v>4.0887104134343343E-2</v>
      </c>
      <c r="K105" s="113">
        <v>77</v>
      </c>
      <c r="L105" s="114">
        <v>7.0274710230902619E-3</v>
      </c>
      <c r="M105" s="113">
        <v>1019</v>
      </c>
      <c r="N105" s="114">
        <v>9.2999908734142558E-2</v>
      </c>
      <c r="O105" s="113">
        <v>42</v>
      </c>
      <c r="P105" s="114">
        <v>3.8331660125946881E-3</v>
      </c>
      <c r="Q105" s="113">
        <v>40</v>
      </c>
      <c r="R105" s="114">
        <v>3.6506342977092269E-3</v>
      </c>
      <c r="S105" s="113">
        <v>13</v>
      </c>
      <c r="T105" s="114">
        <v>1.1864561467554988E-3</v>
      </c>
      <c r="U105" s="116"/>
      <c r="V105" s="117"/>
      <c r="W105" s="113">
        <v>34</v>
      </c>
      <c r="X105" s="114">
        <v>3.1030391530528431E-3</v>
      </c>
      <c r="Y105" s="118"/>
      <c r="Z105" s="117"/>
      <c r="AA105" s="118"/>
      <c r="AB105" s="117"/>
      <c r="AC105" s="113">
        <v>5</v>
      </c>
      <c r="AD105" s="114">
        <v>4.5632928721365336E-4</v>
      </c>
      <c r="AE105" s="119">
        <v>10696</v>
      </c>
      <c r="AF105" s="114">
        <v>0.97617961120744734</v>
      </c>
      <c r="AG105" s="113">
        <v>261</v>
      </c>
      <c r="AH105" s="114">
        <v>2.3820388792552705E-2</v>
      </c>
      <c r="AI105" s="119">
        <v>10957</v>
      </c>
      <c r="AJ105" s="120">
        <v>0.658631882664102</v>
      </c>
      <c r="AL105" s="121">
        <v>0</v>
      </c>
      <c r="AM105" s="120">
        <v>0</v>
      </c>
      <c r="AO105" s="121">
        <v>0</v>
      </c>
      <c r="AP105" s="120">
        <v>0</v>
      </c>
      <c r="AR105" s="122"/>
      <c r="AS105" s="117"/>
      <c r="AT105" s="123">
        <v>3966</v>
      </c>
      <c r="AU105" s="114">
        <v>0.36196039061786983</v>
      </c>
      <c r="AV105" s="116"/>
      <c r="AW105" s="117"/>
      <c r="AX105" s="116"/>
      <c r="AY105" s="117"/>
      <c r="AZ105" s="124" t="s">
        <v>10</v>
      </c>
      <c r="BA105" s="119">
        <v>4871</v>
      </c>
      <c r="BB105" s="125">
        <v>0.44455599160354109</v>
      </c>
      <c r="BC105" s="126">
        <v>5</v>
      </c>
      <c r="BD105" s="126"/>
      <c r="BE105" s="126">
        <v>1</v>
      </c>
      <c r="BF105" s="126">
        <v>4</v>
      </c>
      <c r="BG105" s="126"/>
      <c r="BH105" s="126">
        <v>3</v>
      </c>
      <c r="BI105" s="126"/>
      <c r="BJ105" s="126"/>
      <c r="BK105" s="126"/>
      <c r="BL105" s="126"/>
      <c r="BM105" s="126">
        <v>2</v>
      </c>
      <c r="BN105" s="126"/>
      <c r="BO105" s="126"/>
      <c r="BP105" s="124" t="s">
        <v>203</v>
      </c>
      <c r="BQ105" s="119">
        <v>3966</v>
      </c>
      <c r="BR105" s="114">
        <v>0.36196039061786983</v>
      </c>
      <c r="BS105" s="119">
        <v>905</v>
      </c>
      <c r="BT105" s="127">
        <v>8.2595600985671258E-2</v>
      </c>
    </row>
    <row r="106" spans="1:72" ht="17.100000000000001" customHeight="1">
      <c r="A106" s="111" t="s">
        <v>323</v>
      </c>
      <c r="B106" s="112">
        <v>12323</v>
      </c>
      <c r="C106" s="113">
        <v>811</v>
      </c>
      <c r="D106" s="114">
        <v>0.10446992142213062</v>
      </c>
      <c r="E106" s="115">
        <v>3340</v>
      </c>
      <c r="F106" s="114">
        <v>0.43024603890248614</v>
      </c>
      <c r="G106" s="113">
        <v>1666</v>
      </c>
      <c r="H106" s="114">
        <v>0.2146077547339946</v>
      </c>
      <c r="I106" s="113">
        <v>740</v>
      </c>
      <c r="J106" s="114">
        <v>9.5323972690969982E-2</v>
      </c>
      <c r="K106" s="113">
        <v>32</v>
      </c>
      <c r="L106" s="114">
        <v>4.1221177379878911E-3</v>
      </c>
      <c r="M106" s="113">
        <v>930</v>
      </c>
      <c r="N106" s="114">
        <v>0.11979904676027309</v>
      </c>
      <c r="O106" s="113">
        <v>17</v>
      </c>
      <c r="P106" s="114">
        <v>2.189875048306067E-3</v>
      </c>
      <c r="Q106" s="113">
        <v>14</v>
      </c>
      <c r="R106" s="114">
        <v>1.8034265103697023E-3</v>
      </c>
      <c r="S106" s="113">
        <v>5</v>
      </c>
      <c r="T106" s="114">
        <v>6.4408089656060798E-4</v>
      </c>
      <c r="U106" s="116"/>
      <c r="V106" s="117"/>
      <c r="W106" s="113">
        <v>13</v>
      </c>
      <c r="X106" s="114">
        <v>1.6746103310575809E-3</v>
      </c>
      <c r="Y106" s="118"/>
      <c r="Z106" s="117"/>
      <c r="AA106" s="118"/>
      <c r="AB106" s="117"/>
      <c r="AC106" s="113">
        <v>0</v>
      </c>
      <c r="AD106" s="114">
        <v>0</v>
      </c>
      <c r="AE106" s="119">
        <v>7568</v>
      </c>
      <c r="AF106" s="114">
        <v>0.9748808450341363</v>
      </c>
      <c r="AG106" s="113">
        <v>195</v>
      </c>
      <c r="AH106" s="114">
        <v>2.5119154965863713E-2</v>
      </c>
      <c r="AI106" s="119">
        <v>7763</v>
      </c>
      <c r="AJ106" s="120">
        <v>0.62996023695528691</v>
      </c>
      <c r="AL106" s="121">
        <v>0</v>
      </c>
      <c r="AM106" s="120">
        <v>0</v>
      </c>
      <c r="AO106" s="121">
        <v>0</v>
      </c>
      <c r="AP106" s="120">
        <v>0</v>
      </c>
      <c r="AR106" s="122"/>
      <c r="AS106" s="117"/>
      <c r="AT106" s="123">
        <v>3421</v>
      </c>
      <c r="AU106" s="114">
        <v>0.44068014942676798</v>
      </c>
      <c r="AV106" s="116"/>
      <c r="AW106" s="117"/>
      <c r="AX106" s="116"/>
      <c r="AY106" s="117"/>
      <c r="AZ106" s="124" t="s">
        <v>203</v>
      </c>
      <c r="BA106" s="119">
        <v>3421</v>
      </c>
      <c r="BB106" s="125">
        <v>0.44068014942676798</v>
      </c>
      <c r="BC106" s="126">
        <v>4</v>
      </c>
      <c r="BD106" s="126"/>
      <c r="BE106" s="126">
        <v>2</v>
      </c>
      <c r="BF106" s="126">
        <v>5</v>
      </c>
      <c r="BG106" s="126"/>
      <c r="BH106" s="126">
        <v>3</v>
      </c>
      <c r="BI106" s="126"/>
      <c r="BJ106" s="126"/>
      <c r="BK106" s="126"/>
      <c r="BL106" s="126"/>
      <c r="BM106" s="126">
        <v>1</v>
      </c>
      <c r="BN106" s="126"/>
      <c r="BO106" s="126"/>
      <c r="BP106" s="124" t="s">
        <v>10</v>
      </c>
      <c r="BQ106" s="119">
        <v>1666</v>
      </c>
      <c r="BR106" s="114">
        <v>0.2146077547339946</v>
      </c>
      <c r="BS106" s="119">
        <v>1755</v>
      </c>
      <c r="BT106" s="127">
        <v>0.22607239469277338</v>
      </c>
    </row>
    <row r="107" spans="1:72" ht="17.100000000000001" customHeight="1">
      <c r="A107" s="111" t="s">
        <v>324</v>
      </c>
      <c r="B107" s="112">
        <v>47918</v>
      </c>
      <c r="C107" s="113">
        <v>10517</v>
      </c>
      <c r="D107" s="114">
        <v>0.37492424512495098</v>
      </c>
      <c r="E107" s="115">
        <v>11483</v>
      </c>
      <c r="F107" s="114">
        <v>0.40936152008841037</v>
      </c>
      <c r="G107" s="113">
        <v>1190</v>
      </c>
      <c r="H107" s="114">
        <v>4.2422730027449999E-2</v>
      </c>
      <c r="I107" s="113">
        <v>689</v>
      </c>
      <c r="J107" s="114">
        <v>2.4562404192363909E-2</v>
      </c>
      <c r="K107" s="113">
        <v>354</v>
      </c>
      <c r="L107" s="114">
        <v>1.261987094934227E-2</v>
      </c>
      <c r="M107" s="113">
        <v>1638</v>
      </c>
      <c r="N107" s="114">
        <v>5.8393640155431178E-2</v>
      </c>
      <c r="O107" s="113">
        <v>167</v>
      </c>
      <c r="P107" s="114">
        <v>5.9534419450286979E-3</v>
      </c>
      <c r="Q107" s="113">
        <v>124</v>
      </c>
      <c r="R107" s="114">
        <v>4.4205197675662184E-3</v>
      </c>
      <c r="S107" s="113">
        <v>52</v>
      </c>
      <c r="T107" s="114">
        <v>1.8537663541406723E-3</v>
      </c>
      <c r="U107" s="116"/>
      <c r="V107" s="117"/>
      <c r="W107" s="113">
        <v>135</v>
      </c>
      <c r="X107" s="114">
        <v>4.8126626501728996E-3</v>
      </c>
      <c r="Y107" s="118"/>
      <c r="Z107" s="117"/>
      <c r="AA107" s="118"/>
      <c r="AB107" s="117"/>
      <c r="AC107" s="113">
        <v>60</v>
      </c>
      <c r="AD107" s="114">
        <v>2.1389611778546221E-3</v>
      </c>
      <c r="AE107" s="119">
        <v>26409</v>
      </c>
      <c r="AF107" s="114">
        <v>0.94146376243271179</v>
      </c>
      <c r="AG107" s="113">
        <v>1018</v>
      </c>
      <c r="AH107" s="114">
        <v>3.6291041317600088E-2</v>
      </c>
      <c r="AI107" s="119">
        <v>28051</v>
      </c>
      <c r="AJ107" s="120">
        <v>0.58539588463625358</v>
      </c>
      <c r="AL107" s="121">
        <v>624</v>
      </c>
      <c r="AM107" s="120">
        <v>2.2245196249688067E-2</v>
      </c>
      <c r="AO107" s="121">
        <v>0</v>
      </c>
      <c r="AP107" s="120">
        <v>0</v>
      </c>
      <c r="AR107" s="122"/>
      <c r="AS107" s="117"/>
      <c r="AT107" s="123">
        <v>12315</v>
      </c>
      <c r="AU107" s="114">
        <v>0.43902178175466117</v>
      </c>
      <c r="AV107" s="116"/>
      <c r="AW107" s="117"/>
      <c r="AX107" s="116"/>
      <c r="AY107" s="117"/>
      <c r="AZ107" s="124" t="s">
        <v>203</v>
      </c>
      <c r="BA107" s="119">
        <v>12315</v>
      </c>
      <c r="BB107" s="125">
        <v>0.43902178175466117</v>
      </c>
      <c r="BC107" s="126">
        <v>2</v>
      </c>
      <c r="BD107" s="126"/>
      <c r="BE107" s="126">
        <v>4</v>
      </c>
      <c r="BF107" s="126">
        <v>5</v>
      </c>
      <c r="BG107" s="126"/>
      <c r="BH107" s="126">
        <v>3</v>
      </c>
      <c r="BI107" s="126"/>
      <c r="BJ107" s="126"/>
      <c r="BK107" s="126"/>
      <c r="BL107" s="126"/>
      <c r="BM107" s="126">
        <v>1</v>
      </c>
      <c r="BN107" s="126"/>
      <c r="BO107" s="126"/>
      <c r="BP107" s="124" t="s">
        <v>7</v>
      </c>
      <c r="BQ107" s="119">
        <v>10517</v>
      </c>
      <c r="BR107" s="114">
        <v>0.37492424512495098</v>
      </c>
      <c r="BS107" s="119">
        <v>1798</v>
      </c>
      <c r="BT107" s="127">
        <v>6.4097536629710183E-2</v>
      </c>
    </row>
    <row r="108" spans="1:72" ht="17.100000000000001" customHeight="1">
      <c r="A108" s="111" t="s">
        <v>325</v>
      </c>
      <c r="B108" s="112">
        <v>21232</v>
      </c>
      <c r="C108" s="113">
        <v>6175</v>
      </c>
      <c r="D108" s="114">
        <v>0.42704011065006914</v>
      </c>
      <c r="E108" s="115">
        <v>6398</v>
      </c>
      <c r="F108" s="114">
        <v>0.44246196403872751</v>
      </c>
      <c r="G108" s="113">
        <v>599</v>
      </c>
      <c r="H108" s="114">
        <v>4.1424619640387274E-2</v>
      </c>
      <c r="I108" s="113">
        <v>110</v>
      </c>
      <c r="J108" s="114">
        <v>7.6071922544951589E-3</v>
      </c>
      <c r="K108" s="113">
        <v>204</v>
      </c>
      <c r="L108" s="114">
        <v>1.4107883817427386E-2</v>
      </c>
      <c r="M108" s="118"/>
      <c r="N108" s="118"/>
      <c r="O108" s="113">
        <v>43</v>
      </c>
      <c r="P108" s="114">
        <v>2.9737206085753802E-3</v>
      </c>
      <c r="Q108" s="113">
        <v>13</v>
      </c>
      <c r="R108" s="114">
        <v>8.9903181189488238E-4</v>
      </c>
      <c r="S108" s="113">
        <v>5</v>
      </c>
      <c r="T108" s="114">
        <v>3.4578146611341634E-4</v>
      </c>
      <c r="U108" s="116"/>
      <c r="V108" s="117"/>
      <c r="W108" s="113">
        <v>171</v>
      </c>
      <c r="X108" s="114">
        <v>1.1825726141078838E-2</v>
      </c>
      <c r="Y108" s="113">
        <v>11</v>
      </c>
      <c r="Z108" s="114">
        <v>7.6071922544951591E-4</v>
      </c>
      <c r="AA108" s="118"/>
      <c r="AB108" s="117"/>
      <c r="AC108" s="113">
        <v>9</v>
      </c>
      <c r="AD108" s="114">
        <v>6.2240663900414933E-4</v>
      </c>
      <c r="AE108" s="119">
        <v>13738</v>
      </c>
      <c r="AF108" s="114">
        <v>0.95006915629322264</v>
      </c>
      <c r="AG108" s="113">
        <v>381</v>
      </c>
      <c r="AH108" s="114">
        <v>2.6348547717842324E-2</v>
      </c>
      <c r="AI108" s="119">
        <v>14460</v>
      </c>
      <c r="AJ108" s="120">
        <v>0.68104747550866618</v>
      </c>
      <c r="AL108" s="121">
        <v>341</v>
      </c>
      <c r="AM108" s="120">
        <v>2.3582295988934993E-2</v>
      </c>
      <c r="AO108" s="121">
        <v>0</v>
      </c>
      <c r="AP108" s="120">
        <v>0</v>
      </c>
      <c r="AR108" s="122"/>
      <c r="AS108" s="117"/>
      <c r="AT108" s="123">
        <v>6834</v>
      </c>
      <c r="AU108" s="114">
        <v>0.47261410788381741</v>
      </c>
      <c r="AV108" s="119">
        <v>720</v>
      </c>
      <c r="AW108" s="114">
        <v>4.9792531120331947E-2</v>
      </c>
      <c r="AX108" s="116"/>
      <c r="AY108" s="117"/>
      <c r="AZ108" s="124" t="s">
        <v>203</v>
      </c>
      <c r="BA108" s="119">
        <v>6834</v>
      </c>
      <c r="BB108" s="125">
        <v>0.47261410788381741</v>
      </c>
      <c r="BC108" s="126">
        <v>2</v>
      </c>
      <c r="BD108" s="126"/>
      <c r="BE108" s="126"/>
      <c r="BF108" s="126"/>
      <c r="BG108" s="126"/>
      <c r="BH108" s="126"/>
      <c r="BI108" s="126"/>
      <c r="BJ108" s="126"/>
      <c r="BK108" s="126"/>
      <c r="BL108" s="126"/>
      <c r="BM108" s="126">
        <v>1</v>
      </c>
      <c r="BN108" s="126">
        <v>3</v>
      </c>
      <c r="BO108" s="126"/>
      <c r="BP108" s="124" t="s">
        <v>7</v>
      </c>
      <c r="BQ108" s="119">
        <v>6175</v>
      </c>
      <c r="BR108" s="114">
        <v>0.42704011065006914</v>
      </c>
      <c r="BS108" s="119">
        <v>659</v>
      </c>
      <c r="BT108" s="127">
        <v>4.5573997233748276E-2</v>
      </c>
    </row>
    <row r="109" spans="1:72" ht="17.100000000000001" customHeight="1">
      <c r="A109" s="111" t="s">
        <v>326</v>
      </c>
      <c r="B109" s="112">
        <v>11190</v>
      </c>
      <c r="C109" s="113">
        <v>3045</v>
      </c>
      <c r="D109" s="114">
        <v>0.38789808917197455</v>
      </c>
      <c r="E109" s="115">
        <v>2569</v>
      </c>
      <c r="F109" s="114">
        <v>0.32726114649681531</v>
      </c>
      <c r="G109" s="113">
        <v>581</v>
      </c>
      <c r="H109" s="114">
        <v>7.4012738853503179E-2</v>
      </c>
      <c r="I109" s="113">
        <v>1240</v>
      </c>
      <c r="J109" s="114">
        <v>0.15796178343949044</v>
      </c>
      <c r="K109" s="113">
        <v>11</v>
      </c>
      <c r="L109" s="114">
        <v>1.4012738853503184E-3</v>
      </c>
      <c r="M109" s="113">
        <v>141</v>
      </c>
      <c r="N109" s="114">
        <v>1.7961783439490446E-2</v>
      </c>
      <c r="O109" s="113">
        <v>30</v>
      </c>
      <c r="P109" s="114">
        <v>3.821656050955414E-3</v>
      </c>
      <c r="Q109" s="113">
        <v>3</v>
      </c>
      <c r="R109" s="114">
        <v>3.8216560509554139E-4</v>
      </c>
      <c r="S109" s="113">
        <v>7</v>
      </c>
      <c r="T109" s="114">
        <v>8.9171974522292993E-4</v>
      </c>
      <c r="U109" s="116"/>
      <c r="V109" s="117"/>
      <c r="W109" s="113">
        <v>30</v>
      </c>
      <c r="X109" s="114">
        <v>3.821656050955414E-3</v>
      </c>
      <c r="Y109" s="118"/>
      <c r="Z109" s="117"/>
      <c r="AA109" s="118"/>
      <c r="AB109" s="117"/>
      <c r="AC109" s="113">
        <v>2</v>
      </c>
      <c r="AD109" s="114">
        <v>2.5477707006369424E-4</v>
      </c>
      <c r="AE109" s="119">
        <v>7659</v>
      </c>
      <c r="AF109" s="114">
        <v>0.97566878980891725</v>
      </c>
      <c r="AG109" s="113">
        <v>191</v>
      </c>
      <c r="AH109" s="114">
        <v>2.4331210191082801E-2</v>
      </c>
      <c r="AI109" s="119">
        <v>7850</v>
      </c>
      <c r="AJ109" s="120">
        <v>0.70151921358355673</v>
      </c>
      <c r="AL109" s="121">
        <v>0</v>
      </c>
      <c r="AM109" s="120">
        <v>0</v>
      </c>
      <c r="AO109" s="121">
        <v>0</v>
      </c>
      <c r="AP109" s="120">
        <v>0</v>
      </c>
      <c r="AR109" s="122"/>
      <c r="AS109" s="117"/>
      <c r="AT109" s="123">
        <v>2650</v>
      </c>
      <c r="AU109" s="114">
        <v>0.33757961783439489</v>
      </c>
      <c r="AV109" s="116"/>
      <c r="AW109" s="117"/>
      <c r="AX109" s="116"/>
      <c r="AY109" s="117"/>
      <c r="AZ109" s="124" t="s">
        <v>7</v>
      </c>
      <c r="BA109" s="119">
        <v>3045</v>
      </c>
      <c r="BB109" s="125">
        <v>0.38789808917197455</v>
      </c>
      <c r="BC109" s="126">
        <v>1</v>
      </c>
      <c r="BD109" s="126"/>
      <c r="BE109" s="126">
        <v>4</v>
      </c>
      <c r="BF109" s="126">
        <v>3</v>
      </c>
      <c r="BG109" s="126"/>
      <c r="BH109" s="126">
        <v>5</v>
      </c>
      <c r="BI109" s="126"/>
      <c r="BJ109" s="126"/>
      <c r="BK109" s="126"/>
      <c r="BL109" s="126"/>
      <c r="BM109" s="126">
        <v>2</v>
      </c>
      <c r="BN109" s="126"/>
      <c r="BO109" s="126"/>
      <c r="BP109" s="124" t="s">
        <v>203</v>
      </c>
      <c r="BQ109" s="119">
        <v>2650</v>
      </c>
      <c r="BR109" s="114">
        <v>0.33757961783439489</v>
      </c>
      <c r="BS109" s="119">
        <v>395</v>
      </c>
      <c r="BT109" s="127">
        <v>5.0318471337579662E-2</v>
      </c>
    </row>
    <row r="110" spans="1:72" ht="17.100000000000001" customHeight="1">
      <c r="A110" s="111" t="s">
        <v>327</v>
      </c>
      <c r="B110" s="112">
        <v>3212</v>
      </c>
      <c r="C110" s="113">
        <v>479</v>
      </c>
      <c r="D110" s="114">
        <v>0.2025369978858351</v>
      </c>
      <c r="E110" s="115">
        <v>649</v>
      </c>
      <c r="F110" s="114">
        <v>0.2744186046511628</v>
      </c>
      <c r="G110" s="113">
        <v>548</v>
      </c>
      <c r="H110" s="114">
        <v>0.2317124735729387</v>
      </c>
      <c r="I110" s="113">
        <v>510</v>
      </c>
      <c r="J110" s="114">
        <v>0.21564482029598309</v>
      </c>
      <c r="K110" s="113">
        <v>39</v>
      </c>
      <c r="L110" s="114">
        <v>1.6490486257928118E-2</v>
      </c>
      <c r="M110" s="118"/>
      <c r="N110" s="118"/>
      <c r="O110" s="113">
        <v>16</v>
      </c>
      <c r="P110" s="114">
        <v>6.7653276955602533E-3</v>
      </c>
      <c r="Q110" s="113">
        <v>2</v>
      </c>
      <c r="R110" s="114">
        <v>8.4566596194503166E-4</v>
      </c>
      <c r="S110" s="113">
        <v>4</v>
      </c>
      <c r="T110" s="114">
        <v>1.6913319238900633E-3</v>
      </c>
      <c r="U110" s="116"/>
      <c r="V110" s="117"/>
      <c r="W110" s="113">
        <v>18</v>
      </c>
      <c r="X110" s="114">
        <v>7.6109936575052854E-3</v>
      </c>
      <c r="Y110" s="118"/>
      <c r="Z110" s="117"/>
      <c r="AA110" s="118"/>
      <c r="AB110" s="117"/>
      <c r="AC110" s="113">
        <v>0</v>
      </c>
      <c r="AD110" s="114">
        <v>0</v>
      </c>
      <c r="AE110" s="119">
        <v>2265</v>
      </c>
      <c r="AF110" s="114">
        <v>0.95771670190274838</v>
      </c>
      <c r="AG110" s="113">
        <v>100</v>
      </c>
      <c r="AH110" s="114">
        <v>4.2283298097251586E-2</v>
      </c>
      <c r="AI110" s="119">
        <v>2365</v>
      </c>
      <c r="AJ110" s="120">
        <v>0.73630136986301364</v>
      </c>
      <c r="AL110" s="121">
        <v>0</v>
      </c>
      <c r="AM110" s="120">
        <v>0</v>
      </c>
      <c r="AO110" s="121">
        <v>0</v>
      </c>
      <c r="AP110" s="120">
        <v>0</v>
      </c>
      <c r="AR110" s="122"/>
      <c r="AS110" s="117"/>
      <c r="AT110" s="123">
        <v>728</v>
      </c>
      <c r="AU110" s="114">
        <v>0.30782241014799155</v>
      </c>
      <c r="AV110" s="116"/>
      <c r="AW110" s="117"/>
      <c r="AX110" s="116"/>
      <c r="AY110" s="117"/>
      <c r="AZ110" s="124" t="s">
        <v>203</v>
      </c>
      <c r="BA110" s="119">
        <v>728</v>
      </c>
      <c r="BB110" s="125">
        <v>0.30782241014799155</v>
      </c>
      <c r="BC110" s="126">
        <v>4</v>
      </c>
      <c r="BD110" s="126"/>
      <c r="BE110" s="126">
        <v>2</v>
      </c>
      <c r="BF110" s="126">
        <v>3</v>
      </c>
      <c r="BG110" s="126"/>
      <c r="BH110" s="126"/>
      <c r="BI110" s="126"/>
      <c r="BJ110" s="126"/>
      <c r="BK110" s="126"/>
      <c r="BL110" s="126"/>
      <c r="BM110" s="126">
        <v>1</v>
      </c>
      <c r="BN110" s="126"/>
      <c r="BO110" s="126"/>
      <c r="BP110" s="124" t="s">
        <v>10</v>
      </c>
      <c r="BQ110" s="119">
        <v>548</v>
      </c>
      <c r="BR110" s="114">
        <v>0.2317124735729387</v>
      </c>
      <c r="BS110" s="119">
        <v>180</v>
      </c>
      <c r="BT110" s="127">
        <v>7.6109936575052856E-2</v>
      </c>
    </row>
    <row r="111" spans="1:72" ht="17.100000000000001" customHeight="1">
      <c r="A111" s="111" t="s">
        <v>328</v>
      </c>
      <c r="B111" s="112">
        <v>151890</v>
      </c>
      <c r="C111" s="113">
        <v>5158</v>
      </c>
      <c r="D111" s="114">
        <v>6.0891533267223873E-2</v>
      </c>
      <c r="E111" s="115">
        <v>38940</v>
      </c>
      <c r="F111" s="114">
        <v>0.4596968409123105</v>
      </c>
      <c r="G111" s="113">
        <v>29488</v>
      </c>
      <c r="H111" s="114">
        <v>0.34811351938423762</v>
      </c>
      <c r="I111" s="113">
        <v>1568</v>
      </c>
      <c r="J111" s="114">
        <v>1.851064834490249E-2</v>
      </c>
      <c r="K111" s="113">
        <v>1685</v>
      </c>
      <c r="L111" s="114">
        <v>1.9891863814515749E-2</v>
      </c>
      <c r="M111" s="113">
        <v>1286</v>
      </c>
      <c r="N111" s="114">
        <v>1.5181564905321812E-2</v>
      </c>
      <c r="O111" s="113">
        <v>908</v>
      </c>
      <c r="P111" s="114">
        <v>1.0719176465032818E-2</v>
      </c>
      <c r="Q111" s="113">
        <v>473</v>
      </c>
      <c r="R111" s="114">
        <v>5.5838881805732633E-3</v>
      </c>
      <c r="S111" s="113">
        <v>206</v>
      </c>
      <c r="T111" s="114">
        <v>2.4318836473532605E-3</v>
      </c>
      <c r="U111" s="116"/>
      <c r="V111" s="117"/>
      <c r="W111" s="113">
        <v>995</v>
      </c>
      <c r="X111" s="114">
        <v>1.174623412192473E-2</v>
      </c>
      <c r="Y111" s="113">
        <v>511</v>
      </c>
      <c r="Z111" s="114">
        <v>6.0324880766869718E-3</v>
      </c>
      <c r="AA111" s="118"/>
      <c r="AB111" s="117"/>
      <c r="AC111" s="113">
        <v>109</v>
      </c>
      <c r="AD111" s="114">
        <v>1.2867733862209E-3</v>
      </c>
      <c r="AE111" s="119">
        <v>81327</v>
      </c>
      <c r="AF111" s="114">
        <v>0.96008641450630405</v>
      </c>
      <c r="AG111" s="113">
        <v>3381</v>
      </c>
      <c r="AH111" s="114">
        <v>3.9913585493695988E-2</v>
      </c>
      <c r="AI111" s="119">
        <v>84708</v>
      </c>
      <c r="AJ111" s="120">
        <v>0.5576930673513727</v>
      </c>
      <c r="AL111" s="121">
        <v>0</v>
      </c>
      <c r="AM111" s="120">
        <v>0</v>
      </c>
      <c r="AO111" s="121">
        <v>0</v>
      </c>
      <c r="AP111" s="120">
        <v>0</v>
      </c>
      <c r="AR111" s="122"/>
      <c r="AS111" s="117"/>
      <c r="AT111" s="123">
        <v>43207</v>
      </c>
      <c r="AU111" s="114">
        <v>0.51006988714171031</v>
      </c>
      <c r="AV111" s="119">
        <v>31567</v>
      </c>
      <c r="AW111" s="114">
        <v>0.37265665580582708</v>
      </c>
      <c r="AX111" s="116"/>
      <c r="AY111" s="117"/>
      <c r="AZ111" s="124" t="s">
        <v>203</v>
      </c>
      <c r="BA111" s="119">
        <v>43207</v>
      </c>
      <c r="BB111" s="125">
        <v>0.51006988714171031</v>
      </c>
      <c r="BC111" s="126">
        <v>3</v>
      </c>
      <c r="BD111" s="126"/>
      <c r="BE111" s="126"/>
      <c r="BF111" s="126"/>
      <c r="BG111" s="126"/>
      <c r="BH111" s="126">
        <v>4</v>
      </c>
      <c r="BI111" s="126"/>
      <c r="BJ111" s="126"/>
      <c r="BK111" s="126"/>
      <c r="BL111" s="126"/>
      <c r="BM111" s="126">
        <v>1</v>
      </c>
      <c r="BN111" s="126">
        <v>2</v>
      </c>
      <c r="BO111" s="126"/>
      <c r="BP111" s="124" t="s">
        <v>30</v>
      </c>
      <c r="BQ111" s="119">
        <v>31567</v>
      </c>
      <c r="BR111" s="128">
        <v>0.37265665580582708</v>
      </c>
      <c r="BS111" s="119">
        <v>11640</v>
      </c>
      <c r="BT111" s="127">
        <v>0.13741323133588323</v>
      </c>
    </row>
    <row r="112" spans="1:72" ht="17.100000000000001" customHeight="1">
      <c r="A112" s="111" t="s">
        <v>329</v>
      </c>
      <c r="B112" s="112">
        <v>18797</v>
      </c>
      <c r="C112" s="113">
        <v>583</v>
      </c>
      <c r="D112" s="114">
        <v>5.2007136485280998E-2</v>
      </c>
      <c r="E112" s="115">
        <v>4271</v>
      </c>
      <c r="F112" s="114">
        <v>0.38099910793933989</v>
      </c>
      <c r="G112" s="113">
        <v>2132</v>
      </c>
      <c r="H112" s="114">
        <v>0.19018733273862623</v>
      </c>
      <c r="I112" s="113">
        <v>2940</v>
      </c>
      <c r="J112" s="114">
        <v>0.26226583407671722</v>
      </c>
      <c r="K112" s="113">
        <v>101</v>
      </c>
      <c r="L112" s="114">
        <v>9.0098126672613736E-3</v>
      </c>
      <c r="M112" s="113">
        <v>694</v>
      </c>
      <c r="N112" s="114">
        <v>6.1909009812667261E-2</v>
      </c>
      <c r="O112" s="113">
        <v>69</v>
      </c>
      <c r="P112" s="114">
        <v>6.1552185548617308E-3</v>
      </c>
      <c r="Q112" s="113">
        <v>35</v>
      </c>
      <c r="R112" s="114">
        <v>3.1222123104371097E-3</v>
      </c>
      <c r="S112" s="113">
        <v>21</v>
      </c>
      <c r="T112" s="114">
        <v>1.8733273862622658E-3</v>
      </c>
      <c r="U112" s="116"/>
      <c r="V112" s="117"/>
      <c r="W112" s="113">
        <v>44</v>
      </c>
      <c r="X112" s="114">
        <v>3.9250669045495096E-3</v>
      </c>
      <c r="Y112" s="118"/>
      <c r="Z112" s="117"/>
      <c r="AA112" s="118"/>
      <c r="AB112" s="117"/>
      <c r="AC112" s="113">
        <v>14</v>
      </c>
      <c r="AD112" s="114">
        <v>1.2488849241748439E-3</v>
      </c>
      <c r="AE112" s="119">
        <v>10904</v>
      </c>
      <c r="AF112" s="114">
        <v>0.97270294380017841</v>
      </c>
      <c r="AG112" s="113">
        <v>306</v>
      </c>
      <c r="AH112" s="114">
        <v>2.7297056199821586E-2</v>
      </c>
      <c r="AI112" s="119">
        <v>11210</v>
      </c>
      <c r="AJ112" s="120">
        <v>0.59637176145129545</v>
      </c>
      <c r="AL112" s="121">
        <v>0</v>
      </c>
      <c r="AM112" s="120">
        <v>0</v>
      </c>
      <c r="AO112" s="121">
        <v>0</v>
      </c>
      <c r="AP112" s="120">
        <v>0</v>
      </c>
      <c r="AR112" s="122"/>
      <c r="AS112" s="117"/>
      <c r="AT112" s="123">
        <v>4541</v>
      </c>
      <c r="AU112" s="114">
        <v>0.40508474576271186</v>
      </c>
      <c r="AV112" s="116"/>
      <c r="AW112" s="117"/>
      <c r="AX112" s="116"/>
      <c r="AY112" s="117"/>
      <c r="AZ112" s="124" t="s">
        <v>203</v>
      </c>
      <c r="BA112" s="119">
        <v>4541</v>
      </c>
      <c r="BB112" s="125">
        <v>0.40508474576271186</v>
      </c>
      <c r="BC112" s="126">
        <v>5</v>
      </c>
      <c r="BD112" s="126"/>
      <c r="BE112" s="126">
        <v>3</v>
      </c>
      <c r="BF112" s="126">
        <v>2</v>
      </c>
      <c r="BG112" s="126"/>
      <c r="BH112" s="126">
        <v>4</v>
      </c>
      <c r="BI112" s="126"/>
      <c r="BJ112" s="126"/>
      <c r="BK112" s="126"/>
      <c r="BL112" s="126"/>
      <c r="BM112" s="126">
        <v>1</v>
      </c>
      <c r="BN112" s="126"/>
      <c r="BO112" s="126"/>
      <c r="BP112" s="124" t="s">
        <v>11</v>
      </c>
      <c r="BQ112" s="119">
        <v>2940</v>
      </c>
      <c r="BR112" s="114">
        <v>0.26226583407671722</v>
      </c>
      <c r="BS112" s="119">
        <v>1601</v>
      </c>
      <c r="BT112" s="127">
        <v>0.14281891168599464</v>
      </c>
    </row>
    <row r="113" spans="1:72" ht="17.100000000000001" customHeight="1">
      <c r="A113" s="111" t="s">
        <v>330</v>
      </c>
      <c r="B113" s="112">
        <v>42343</v>
      </c>
      <c r="C113" s="113">
        <v>7052</v>
      </c>
      <c r="D113" s="114">
        <v>0.26638461829033355</v>
      </c>
      <c r="E113" s="115">
        <v>9523</v>
      </c>
      <c r="F113" s="114">
        <v>0.35972500283307524</v>
      </c>
      <c r="G113" s="113">
        <v>3224</v>
      </c>
      <c r="H113" s="114">
        <v>0.12178445963812186</v>
      </c>
      <c r="I113" s="113">
        <v>2608</v>
      </c>
      <c r="J113" s="114">
        <v>9.8515468590639518E-2</v>
      </c>
      <c r="K113" s="113">
        <v>228</v>
      </c>
      <c r="L113" s="114">
        <v>8.6125486344577496E-3</v>
      </c>
      <c r="M113" s="113">
        <v>1797</v>
      </c>
      <c r="N113" s="114">
        <v>6.7880482000528847E-2</v>
      </c>
      <c r="O113" s="113">
        <v>342</v>
      </c>
      <c r="P113" s="114">
        <v>1.2918822951686624E-2</v>
      </c>
      <c r="Q113" s="113">
        <v>55</v>
      </c>
      <c r="R113" s="114">
        <v>2.0775884863823519E-3</v>
      </c>
      <c r="S113" s="113">
        <v>25</v>
      </c>
      <c r="T113" s="114">
        <v>9.4435840290106902E-4</v>
      </c>
      <c r="U113" s="116"/>
      <c r="V113" s="117"/>
      <c r="W113" s="113">
        <v>262</v>
      </c>
      <c r="X113" s="114">
        <v>9.896876062403203E-3</v>
      </c>
      <c r="Y113" s="118"/>
      <c r="Z113" s="117"/>
      <c r="AA113" s="118"/>
      <c r="AB113" s="117"/>
      <c r="AC113" s="113">
        <v>58</v>
      </c>
      <c r="AD113" s="114">
        <v>2.1909114947304799E-3</v>
      </c>
      <c r="AE113" s="119">
        <v>25174</v>
      </c>
      <c r="AF113" s="114">
        <v>0.95093113738526047</v>
      </c>
      <c r="AG113" s="113">
        <v>1299</v>
      </c>
      <c r="AH113" s="114">
        <v>4.9068862614739549E-2</v>
      </c>
      <c r="AI113" s="119">
        <v>26473</v>
      </c>
      <c r="AJ113" s="120">
        <v>0.62520369364475825</v>
      </c>
      <c r="AL113" s="121">
        <v>0</v>
      </c>
      <c r="AM113" s="120">
        <v>0</v>
      </c>
      <c r="AO113" s="121">
        <v>0</v>
      </c>
      <c r="AP113" s="120">
        <v>0</v>
      </c>
      <c r="AR113" s="122"/>
      <c r="AS113" s="117"/>
      <c r="AT113" s="123">
        <v>10435</v>
      </c>
      <c r="AU113" s="114">
        <v>0.39417519737090623</v>
      </c>
      <c r="AV113" s="116"/>
      <c r="AW113" s="117"/>
      <c r="AX113" s="116"/>
      <c r="AY113" s="117"/>
      <c r="AZ113" s="124" t="s">
        <v>203</v>
      </c>
      <c r="BA113" s="119">
        <v>10435</v>
      </c>
      <c r="BB113" s="125">
        <v>0.39417519737090623</v>
      </c>
      <c r="BC113" s="126">
        <v>2</v>
      </c>
      <c r="BD113" s="126"/>
      <c r="BE113" s="126">
        <v>3</v>
      </c>
      <c r="BF113" s="126">
        <v>4</v>
      </c>
      <c r="BG113" s="126"/>
      <c r="BH113" s="126">
        <v>5</v>
      </c>
      <c r="BI113" s="126"/>
      <c r="BJ113" s="126"/>
      <c r="BK113" s="126"/>
      <c r="BL113" s="126"/>
      <c r="BM113" s="126">
        <v>1</v>
      </c>
      <c r="BN113" s="126"/>
      <c r="BO113" s="126"/>
      <c r="BP113" s="124" t="s">
        <v>7</v>
      </c>
      <c r="BQ113" s="119">
        <v>7052</v>
      </c>
      <c r="BR113" s="114">
        <v>0.26638461829033355</v>
      </c>
      <c r="BS113" s="119">
        <v>3383</v>
      </c>
      <c r="BT113" s="127">
        <v>0.12779057908057267</v>
      </c>
    </row>
    <row r="114" spans="1:72" ht="17.100000000000001" customHeight="1">
      <c r="A114" s="111" t="s">
        <v>331</v>
      </c>
      <c r="B114" s="112">
        <v>10898</v>
      </c>
      <c r="C114" s="113">
        <v>3488</v>
      </c>
      <c r="D114" s="114">
        <v>0.43377689342121628</v>
      </c>
      <c r="E114" s="115">
        <v>3512</v>
      </c>
      <c r="F114" s="114">
        <v>0.43676159681631638</v>
      </c>
      <c r="G114" s="113">
        <v>268</v>
      </c>
      <c r="H114" s="114">
        <v>3.3329187911951247E-2</v>
      </c>
      <c r="I114" s="113">
        <v>226</v>
      </c>
      <c r="J114" s="114">
        <v>2.8105956970526053E-2</v>
      </c>
      <c r="K114" s="113">
        <v>31</v>
      </c>
      <c r="L114" s="114">
        <v>3.8552418853376445E-3</v>
      </c>
      <c r="M114" s="113">
        <v>145</v>
      </c>
      <c r="N114" s="114">
        <v>1.8032583012063175E-2</v>
      </c>
      <c r="O114" s="113">
        <v>13</v>
      </c>
      <c r="P114" s="114">
        <v>1.6167143390125606E-3</v>
      </c>
      <c r="Q114" s="113">
        <v>7</v>
      </c>
      <c r="R114" s="114">
        <v>8.7053849023753266E-4</v>
      </c>
      <c r="S114" s="113">
        <v>2</v>
      </c>
      <c r="T114" s="114">
        <v>2.4872528292500931E-4</v>
      </c>
      <c r="U114" s="116"/>
      <c r="V114" s="117"/>
      <c r="W114" s="113">
        <v>30</v>
      </c>
      <c r="X114" s="114">
        <v>3.73087924387514E-3</v>
      </c>
      <c r="Y114" s="118"/>
      <c r="Z114" s="117"/>
      <c r="AA114" s="118"/>
      <c r="AB114" s="117"/>
      <c r="AC114" s="113">
        <v>10</v>
      </c>
      <c r="AD114" s="114">
        <v>1.2436264146250466E-3</v>
      </c>
      <c r="AE114" s="119">
        <v>7732</v>
      </c>
      <c r="AF114" s="114">
        <v>0.96157194378808608</v>
      </c>
      <c r="AG114" s="113">
        <v>309</v>
      </c>
      <c r="AH114" s="114">
        <v>3.842805621191394E-2</v>
      </c>
      <c r="AI114" s="119">
        <v>8041</v>
      </c>
      <c r="AJ114" s="120">
        <v>0.73784180583593317</v>
      </c>
      <c r="AL114" s="121">
        <v>0</v>
      </c>
      <c r="AM114" s="120">
        <v>0</v>
      </c>
      <c r="AO114" s="121">
        <v>0</v>
      </c>
      <c r="AP114" s="120">
        <v>0</v>
      </c>
      <c r="AR114" s="122"/>
      <c r="AS114" s="117"/>
      <c r="AT114" s="123">
        <v>3595</v>
      </c>
      <c r="AU114" s="114">
        <v>0.44708369605770426</v>
      </c>
      <c r="AV114" s="116"/>
      <c r="AW114" s="117"/>
      <c r="AX114" s="116"/>
      <c r="AY114" s="117"/>
      <c r="AZ114" s="124" t="s">
        <v>203</v>
      </c>
      <c r="BA114" s="119">
        <v>3595</v>
      </c>
      <c r="BB114" s="125">
        <v>0.44708369605770426</v>
      </c>
      <c r="BC114" s="126">
        <v>2</v>
      </c>
      <c r="BD114" s="126"/>
      <c r="BE114" s="126">
        <v>3</v>
      </c>
      <c r="BF114" s="126">
        <v>4</v>
      </c>
      <c r="BG114" s="126"/>
      <c r="BH114" s="126">
        <v>5</v>
      </c>
      <c r="BI114" s="126"/>
      <c r="BJ114" s="126"/>
      <c r="BK114" s="126"/>
      <c r="BL114" s="126"/>
      <c r="BM114" s="126">
        <v>1</v>
      </c>
      <c r="BN114" s="126"/>
      <c r="BO114" s="126"/>
      <c r="BP114" s="124" t="s">
        <v>7</v>
      </c>
      <c r="BQ114" s="119">
        <v>3488</v>
      </c>
      <c r="BR114" s="114">
        <v>0.43377689342121628</v>
      </c>
      <c r="BS114" s="119">
        <v>107</v>
      </c>
      <c r="BT114" s="127">
        <v>1.330680263648798E-2</v>
      </c>
    </row>
    <row r="115" spans="1:72" ht="17.100000000000001" customHeight="1">
      <c r="A115" s="111" t="s">
        <v>332</v>
      </c>
      <c r="B115" s="112">
        <v>31844</v>
      </c>
      <c r="C115" s="113">
        <v>1616</v>
      </c>
      <c r="D115" s="114">
        <v>8.8243324414350455E-2</v>
      </c>
      <c r="E115" s="115">
        <v>7321</v>
      </c>
      <c r="F115" s="114">
        <v>0.39977065472615081</v>
      </c>
      <c r="G115" s="113">
        <v>3573</v>
      </c>
      <c r="H115" s="114">
        <v>0.19510730082455086</v>
      </c>
      <c r="I115" s="133">
        <v>1358</v>
      </c>
      <c r="J115" s="114">
        <v>7.4154971877900946E-2</v>
      </c>
      <c r="K115" s="113">
        <v>239</v>
      </c>
      <c r="L115" s="114">
        <v>1.3050838202369901E-2</v>
      </c>
      <c r="M115" s="113">
        <v>2723</v>
      </c>
      <c r="N115" s="114">
        <v>0.14869218587888386</v>
      </c>
      <c r="O115" s="113">
        <v>120</v>
      </c>
      <c r="P115" s="114">
        <v>6.5527221099765196E-3</v>
      </c>
      <c r="Q115" s="133">
        <v>73</v>
      </c>
      <c r="R115" s="114">
        <v>3.9862392835690492E-3</v>
      </c>
      <c r="S115" s="113">
        <v>40</v>
      </c>
      <c r="T115" s="114">
        <v>2.1842407033255064E-3</v>
      </c>
      <c r="U115" s="116"/>
      <c r="V115" s="117"/>
      <c r="W115" s="113">
        <v>206</v>
      </c>
      <c r="X115" s="114">
        <v>1.1248839622126359E-2</v>
      </c>
      <c r="Y115" s="118"/>
      <c r="Z115" s="117"/>
      <c r="AA115" s="118"/>
      <c r="AB115" s="117"/>
      <c r="AC115" s="113">
        <v>30</v>
      </c>
      <c r="AD115" s="114">
        <v>1.6381805274941299E-3</v>
      </c>
      <c r="AE115" s="119">
        <v>17299</v>
      </c>
      <c r="AF115" s="114">
        <v>0.94462949817069841</v>
      </c>
      <c r="AG115" s="113">
        <v>1014</v>
      </c>
      <c r="AH115" s="114">
        <v>5.5370501829301588E-2</v>
      </c>
      <c r="AI115" s="135">
        <v>18313</v>
      </c>
      <c r="AJ115" s="120">
        <v>0.575084788343173</v>
      </c>
      <c r="AL115" s="121">
        <v>0</v>
      </c>
      <c r="AM115" s="120">
        <v>0</v>
      </c>
      <c r="AO115" s="121">
        <v>0</v>
      </c>
      <c r="AP115" s="120">
        <v>0</v>
      </c>
      <c r="AR115" s="122"/>
      <c r="AS115" s="117"/>
      <c r="AT115" s="123">
        <v>7999</v>
      </c>
      <c r="AU115" s="114">
        <v>0.43679353464751813</v>
      </c>
      <c r="AV115" s="116"/>
      <c r="AW115" s="117"/>
      <c r="AX115" s="116"/>
      <c r="AY115" s="117"/>
      <c r="AZ115" s="124" t="s">
        <v>203</v>
      </c>
      <c r="BA115" s="119">
        <v>7999</v>
      </c>
      <c r="BB115" s="125">
        <v>0.43679353464751813</v>
      </c>
      <c r="BC115" s="126">
        <v>4</v>
      </c>
      <c r="BD115" s="126"/>
      <c r="BE115" s="126">
        <v>2</v>
      </c>
      <c r="BF115" s="126">
        <v>5</v>
      </c>
      <c r="BG115" s="126"/>
      <c r="BH115" s="126">
        <v>3</v>
      </c>
      <c r="BI115" s="126"/>
      <c r="BJ115" s="126"/>
      <c r="BK115" s="126"/>
      <c r="BL115" s="126"/>
      <c r="BM115" s="126">
        <v>1</v>
      </c>
      <c r="BN115" s="126"/>
      <c r="BO115" s="126"/>
      <c r="BP115" s="124" t="s">
        <v>10</v>
      </c>
      <c r="BQ115" s="119">
        <v>3573</v>
      </c>
      <c r="BR115" s="114">
        <v>0.19510730082455086</v>
      </c>
      <c r="BS115" s="119">
        <v>4426</v>
      </c>
      <c r="BT115" s="127">
        <v>0.24168623382296728</v>
      </c>
    </row>
    <row r="116" spans="1:72" ht="17.100000000000001" customHeight="1">
      <c r="A116" s="111" t="s">
        <v>333</v>
      </c>
      <c r="B116" s="112">
        <v>555100</v>
      </c>
      <c r="C116" s="113">
        <v>98135</v>
      </c>
      <c r="D116" s="114">
        <v>0.36493893822422541</v>
      </c>
      <c r="E116" s="115">
        <v>91454</v>
      </c>
      <c r="F116" s="114">
        <v>0.34009400984723398</v>
      </c>
      <c r="G116" s="113">
        <v>23203</v>
      </c>
      <c r="H116" s="139">
        <v>8.6286016035223942E-2</v>
      </c>
      <c r="I116" s="113">
        <v>8793</v>
      </c>
      <c r="J116" s="138">
        <v>3.2698915614262129E-2</v>
      </c>
      <c r="K116" s="113">
        <v>10147</v>
      </c>
      <c r="L116" s="114">
        <v>3.7734094932095737E-2</v>
      </c>
      <c r="M116" s="113">
        <v>4353</v>
      </c>
      <c r="N116" s="114">
        <v>1.6187692444999777E-2</v>
      </c>
      <c r="O116" s="113">
        <v>3733</v>
      </c>
      <c r="P116" s="139">
        <v>1.3882071191634314E-2</v>
      </c>
      <c r="Q116" s="113">
        <v>2173</v>
      </c>
      <c r="R116" s="138">
        <v>8.0808306186502445E-3</v>
      </c>
      <c r="S116" s="113">
        <v>622</v>
      </c>
      <c r="T116" s="114">
        <v>2.3130587412795453E-3</v>
      </c>
      <c r="U116" s="116"/>
      <c r="V116" s="117"/>
      <c r="W116" s="113">
        <v>1475</v>
      </c>
      <c r="X116" s="114">
        <v>5.485147336635578E-3</v>
      </c>
      <c r="Y116" s="118"/>
      <c r="Z116" s="117"/>
      <c r="AA116" s="118"/>
      <c r="AB116" s="117"/>
      <c r="AC116" s="113">
        <v>735</v>
      </c>
      <c r="AD116" s="114">
        <v>2.7332768084251864E-3</v>
      </c>
      <c r="AE116" s="119">
        <v>244823</v>
      </c>
      <c r="AF116" s="114">
        <v>0.91043405179466586</v>
      </c>
      <c r="AG116" s="113">
        <v>17070</v>
      </c>
      <c r="AH116" s="139">
        <v>6.3478959346691066E-2</v>
      </c>
      <c r="AI116" s="119">
        <v>268908</v>
      </c>
      <c r="AJ116" s="140">
        <v>0.48443163393983069</v>
      </c>
      <c r="AL116" s="121">
        <v>6707</v>
      </c>
      <c r="AM116" s="120">
        <v>2.4941615719874455E-2</v>
      </c>
      <c r="AO116" s="121">
        <v>308</v>
      </c>
      <c r="AP116" s="120">
        <v>1.1453731387686494E-3</v>
      </c>
      <c r="AR116" s="122"/>
      <c r="AS116" s="117"/>
      <c r="AT116" s="123">
        <v>109604</v>
      </c>
      <c r="AU116" s="114">
        <v>0.4075892126675294</v>
      </c>
      <c r="AV116" s="116"/>
      <c r="AW116" s="117"/>
      <c r="AX116" s="116"/>
      <c r="AY116" s="117"/>
      <c r="AZ116" s="124" t="s">
        <v>203</v>
      </c>
      <c r="BA116" s="119">
        <v>109604</v>
      </c>
      <c r="BB116" s="125">
        <v>0.4075892126675294</v>
      </c>
      <c r="BC116" s="126">
        <v>2</v>
      </c>
      <c r="BD116" s="126"/>
      <c r="BE116" s="126">
        <v>3</v>
      </c>
      <c r="BF116" s="126">
        <v>4</v>
      </c>
      <c r="BG116" s="126"/>
      <c r="BH116" s="126">
        <v>5</v>
      </c>
      <c r="BI116" s="126"/>
      <c r="BJ116" s="126"/>
      <c r="BK116" s="126"/>
      <c r="BL116" s="126"/>
      <c r="BM116" s="126">
        <v>1</v>
      </c>
      <c r="BN116" s="126"/>
      <c r="BO116" s="126"/>
      <c r="BP116" s="124" t="s">
        <v>7</v>
      </c>
      <c r="BQ116" s="119">
        <v>98135</v>
      </c>
      <c r="BR116" s="114">
        <v>0.36493893822422541</v>
      </c>
      <c r="BS116" s="119">
        <v>11469</v>
      </c>
      <c r="BT116" s="127">
        <v>4.2650274443303993E-2</v>
      </c>
    </row>
    <row r="117" spans="1:72" ht="17.100000000000001" customHeight="1">
      <c r="A117" s="111" t="s">
        <v>334</v>
      </c>
      <c r="B117" s="112">
        <v>26452</v>
      </c>
      <c r="C117" s="113">
        <v>68</v>
      </c>
      <c r="D117" s="114">
        <v>3.9488966318234611E-3</v>
      </c>
      <c r="E117" s="115">
        <v>7334</v>
      </c>
      <c r="F117" s="114">
        <v>0.42590011614401857</v>
      </c>
      <c r="G117" s="113">
        <v>8839</v>
      </c>
      <c r="H117" s="114">
        <v>0.51329849012775841</v>
      </c>
      <c r="I117" s="141">
        <v>407</v>
      </c>
      <c r="J117" s="114">
        <v>2.3635307781649247E-2</v>
      </c>
      <c r="K117" s="113">
        <v>46</v>
      </c>
      <c r="L117" s="114">
        <v>2.6713124274099884E-3</v>
      </c>
      <c r="M117" s="118"/>
      <c r="N117" s="118"/>
      <c r="O117" s="113">
        <v>17</v>
      </c>
      <c r="P117" s="114">
        <v>9.8722415795586527E-4</v>
      </c>
      <c r="Q117" s="141">
        <v>11</v>
      </c>
      <c r="R117" s="114">
        <v>6.3879210220673635E-4</v>
      </c>
      <c r="S117" s="113">
        <v>3</v>
      </c>
      <c r="T117" s="114">
        <v>1.7421602787456446E-4</v>
      </c>
      <c r="U117" s="116"/>
      <c r="V117" s="117"/>
      <c r="W117" s="113">
        <v>64</v>
      </c>
      <c r="X117" s="114">
        <v>3.7166085946573751E-3</v>
      </c>
      <c r="Y117" s="118"/>
      <c r="Z117" s="117"/>
      <c r="AA117" s="118"/>
      <c r="AB117" s="117"/>
      <c r="AC117" s="113">
        <v>4</v>
      </c>
      <c r="AD117" s="114">
        <v>2.3228803716608595E-4</v>
      </c>
      <c r="AE117" s="119">
        <v>16793</v>
      </c>
      <c r="AF117" s="114">
        <v>0.97520325203252034</v>
      </c>
      <c r="AG117" s="113">
        <v>427</v>
      </c>
      <c r="AH117" s="114">
        <v>2.4796747967479674E-2</v>
      </c>
      <c r="AI117" s="143">
        <v>17220</v>
      </c>
      <c r="AJ117" s="120">
        <v>0.6509904733101467</v>
      </c>
      <c r="AL117" s="121">
        <v>0</v>
      </c>
      <c r="AM117" s="120">
        <v>0</v>
      </c>
      <c r="AO117" s="121">
        <v>0</v>
      </c>
      <c r="AP117" s="120">
        <v>0</v>
      </c>
      <c r="AR117" s="122"/>
      <c r="AS117" s="117"/>
      <c r="AT117" s="123">
        <v>7475</v>
      </c>
      <c r="AU117" s="114">
        <v>0.4340882694541231</v>
      </c>
      <c r="AV117" s="116"/>
      <c r="AW117" s="117"/>
      <c r="AX117" s="116"/>
      <c r="AY117" s="117"/>
      <c r="AZ117" s="124" t="s">
        <v>10</v>
      </c>
      <c r="BA117" s="119">
        <v>8839</v>
      </c>
      <c r="BB117" s="125">
        <v>0.51329849012775841</v>
      </c>
      <c r="BC117" s="126">
        <v>4</v>
      </c>
      <c r="BD117" s="126"/>
      <c r="BE117" s="126">
        <v>1</v>
      </c>
      <c r="BF117" s="126">
        <v>3</v>
      </c>
      <c r="BG117" s="126"/>
      <c r="BH117" s="126"/>
      <c r="BI117" s="126"/>
      <c r="BJ117" s="126"/>
      <c r="BK117" s="126"/>
      <c r="BL117" s="126"/>
      <c r="BM117" s="126">
        <v>2</v>
      </c>
      <c r="BN117" s="126"/>
      <c r="BO117" s="126"/>
      <c r="BP117" s="124" t="s">
        <v>203</v>
      </c>
      <c r="BQ117" s="119">
        <v>7475</v>
      </c>
      <c r="BR117" s="114">
        <v>0.4340882694541231</v>
      </c>
      <c r="BS117" s="119">
        <v>1364</v>
      </c>
      <c r="BT117" s="127">
        <v>7.9210220673635312E-2</v>
      </c>
    </row>
    <row r="118" spans="1:72" ht="17.100000000000001" customHeight="1">
      <c r="A118" s="111" t="s">
        <v>335</v>
      </c>
      <c r="B118" s="112">
        <v>529503</v>
      </c>
      <c r="C118" s="113">
        <v>87228</v>
      </c>
      <c r="D118" s="114">
        <v>0.28529377134110445</v>
      </c>
      <c r="E118" s="115">
        <v>168355</v>
      </c>
      <c r="F118" s="114">
        <v>0.55063320119837256</v>
      </c>
      <c r="G118" s="113">
        <v>9379</v>
      </c>
      <c r="H118" s="114">
        <v>3.067558904718919E-2</v>
      </c>
      <c r="I118" s="113">
        <v>8042</v>
      </c>
      <c r="J118" s="114">
        <v>2.630270680429635E-2</v>
      </c>
      <c r="K118" s="113">
        <v>9730</v>
      </c>
      <c r="L118" s="114">
        <v>3.1823593285974068E-2</v>
      </c>
      <c r="M118" s="113">
        <v>3696</v>
      </c>
      <c r="N118" s="114">
        <v>1.2088386514384396E-2</v>
      </c>
      <c r="O118" s="113">
        <v>2510</v>
      </c>
      <c r="P118" s="114">
        <v>8.2093750408833415E-3</v>
      </c>
      <c r="Q118" s="113">
        <v>1545</v>
      </c>
      <c r="R118" s="114">
        <v>5.0531810510616587E-3</v>
      </c>
      <c r="S118" s="113">
        <v>570</v>
      </c>
      <c r="T118" s="114">
        <v>1.8642803877703207E-3</v>
      </c>
      <c r="U118" s="116"/>
      <c r="V118" s="117"/>
      <c r="W118" s="113">
        <v>1466</v>
      </c>
      <c r="X118" s="114">
        <v>4.7947983306513859E-3</v>
      </c>
      <c r="Y118" s="118"/>
      <c r="Z118" s="117"/>
      <c r="AA118" s="118"/>
      <c r="AB118" s="117"/>
      <c r="AC118" s="113">
        <v>425</v>
      </c>
      <c r="AD118" s="114">
        <v>1.3900336224603267E-3</v>
      </c>
      <c r="AE118" s="119">
        <v>292946</v>
      </c>
      <c r="AF118" s="114">
        <v>0.95812891662414801</v>
      </c>
      <c r="AG118" s="113">
        <v>12802</v>
      </c>
      <c r="AH118" s="114">
        <v>4.1871083375852006E-2</v>
      </c>
      <c r="AI118" s="119">
        <v>305748</v>
      </c>
      <c r="AJ118" s="120">
        <v>0.57742449051280165</v>
      </c>
      <c r="AL118" s="121">
        <v>0</v>
      </c>
      <c r="AM118" s="120">
        <v>0</v>
      </c>
      <c r="AO118" s="121">
        <v>0</v>
      </c>
      <c r="AP118" s="120">
        <v>0</v>
      </c>
      <c r="AR118" s="122"/>
      <c r="AS118" s="117"/>
      <c r="AT118" s="123">
        <v>184176</v>
      </c>
      <c r="AU118" s="114">
        <v>0.6023784292947133</v>
      </c>
      <c r="AV118" s="116"/>
      <c r="AW118" s="117"/>
      <c r="AX118" s="116"/>
      <c r="AY118" s="117"/>
      <c r="AZ118" s="124" t="s">
        <v>203</v>
      </c>
      <c r="BA118" s="119">
        <v>184176</v>
      </c>
      <c r="BB118" s="125">
        <v>0.6023784292947133</v>
      </c>
      <c r="BC118" s="126">
        <v>2</v>
      </c>
      <c r="BD118" s="126"/>
      <c r="BE118" s="126">
        <v>3</v>
      </c>
      <c r="BF118" s="126">
        <v>4</v>
      </c>
      <c r="BG118" s="126"/>
      <c r="BH118" s="126">
        <v>5</v>
      </c>
      <c r="BI118" s="126"/>
      <c r="BJ118" s="126"/>
      <c r="BK118" s="126"/>
      <c r="BL118" s="126"/>
      <c r="BM118" s="126">
        <v>1</v>
      </c>
      <c r="BN118" s="126"/>
      <c r="BO118" s="126"/>
      <c r="BP118" s="124" t="s">
        <v>7</v>
      </c>
      <c r="BQ118" s="119">
        <v>87228</v>
      </c>
      <c r="BR118" s="114">
        <v>0.28529377134110445</v>
      </c>
      <c r="BS118" s="119">
        <v>96948</v>
      </c>
      <c r="BT118" s="127">
        <v>0.31708465795360885</v>
      </c>
    </row>
    <row r="119" spans="1:72" ht="17.100000000000001" customHeight="1">
      <c r="A119" s="111" t="s">
        <v>336</v>
      </c>
      <c r="B119" s="112">
        <v>9293</v>
      </c>
      <c r="C119" s="113">
        <v>2220</v>
      </c>
      <c r="D119" s="114">
        <v>0.35588329592818213</v>
      </c>
      <c r="E119" s="115">
        <v>1660</v>
      </c>
      <c r="F119" s="114">
        <v>0.26611093299134336</v>
      </c>
      <c r="G119" s="113">
        <v>2113</v>
      </c>
      <c r="H119" s="114">
        <v>0.33873036229560755</v>
      </c>
      <c r="I119" s="113">
        <v>20</v>
      </c>
      <c r="J119" s="114">
        <v>3.2061558191728116E-3</v>
      </c>
      <c r="K119" s="113">
        <v>19</v>
      </c>
      <c r="L119" s="114">
        <v>3.0458480282141713E-3</v>
      </c>
      <c r="M119" s="118"/>
      <c r="N119" s="118"/>
      <c r="O119" s="113">
        <v>8</v>
      </c>
      <c r="P119" s="114">
        <v>1.2824623276691247E-3</v>
      </c>
      <c r="Q119" s="113">
        <v>18</v>
      </c>
      <c r="R119" s="114">
        <v>2.8855402372555306E-3</v>
      </c>
      <c r="S119" s="113">
        <v>6</v>
      </c>
      <c r="T119" s="114">
        <v>9.6184674575184356E-4</v>
      </c>
      <c r="U119" s="116"/>
      <c r="V119" s="117"/>
      <c r="W119" s="113">
        <v>21</v>
      </c>
      <c r="X119" s="114">
        <v>3.3664636101314524E-3</v>
      </c>
      <c r="Y119" s="113">
        <v>29</v>
      </c>
      <c r="Z119" s="114">
        <v>4.6489259378005767E-3</v>
      </c>
      <c r="AA119" s="118"/>
      <c r="AB119" s="117"/>
      <c r="AC119" s="113">
        <v>3</v>
      </c>
      <c r="AD119" s="114">
        <v>4.8092337287592178E-4</v>
      </c>
      <c r="AE119" s="119">
        <v>6117</v>
      </c>
      <c r="AF119" s="114">
        <v>0.98060275729400448</v>
      </c>
      <c r="AG119" s="113">
        <v>121</v>
      </c>
      <c r="AH119" s="114">
        <v>1.9397242705995511E-2</v>
      </c>
      <c r="AI119" s="119">
        <v>6238</v>
      </c>
      <c r="AJ119" s="120">
        <v>0.6712579360809211</v>
      </c>
      <c r="AL119" s="121">
        <v>0</v>
      </c>
      <c r="AM119" s="120">
        <v>0</v>
      </c>
      <c r="AO119" s="121">
        <v>0</v>
      </c>
      <c r="AP119" s="120">
        <v>0</v>
      </c>
      <c r="AR119" s="122"/>
      <c r="AS119" s="117"/>
      <c r="AT119" s="123">
        <v>1732</v>
      </c>
      <c r="AU119" s="114">
        <v>0.27765309394036553</v>
      </c>
      <c r="AV119" s="119">
        <v>2162</v>
      </c>
      <c r="AW119" s="114">
        <v>0.34658544405258096</v>
      </c>
      <c r="AX119" s="116"/>
      <c r="AY119" s="117"/>
      <c r="AZ119" s="124" t="s">
        <v>7</v>
      </c>
      <c r="BA119" s="119">
        <v>2220</v>
      </c>
      <c r="BB119" s="125">
        <v>0.35588329592818213</v>
      </c>
      <c r="BC119" s="126">
        <v>1</v>
      </c>
      <c r="BD119" s="126"/>
      <c r="BE119" s="126"/>
      <c r="BF119" s="126"/>
      <c r="BG119" s="126"/>
      <c r="BH119" s="126"/>
      <c r="BI119" s="126"/>
      <c r="BJ119" s="126"/>
      <c r="BK119" s="126"/>
      <c r="BL119" s="126"/>
      <c r="BM119" s="126">
        <v>3</v>
      </c>
      <c r="BN119" s="126">
        <v>2</v>
      </c>
      <c r="BO119" s="126"/>
      <c r="BP119" s="124" t="s">
        <v>30</v>
      </c>
      <c r="BQ119" s="119">
        <v>2162</v>
      </c>
      <c r="BR119" s="114">
        <v>0.34658544405258096</v>
      </c>
      <c r="BS119" s="119">
        <v>58</v>
      </c>
      <c r="BT119" s="127">
        <v>9.2978518756011708E-3</v>
      </c>
    </row>
    <row r="120" spans="1:72" ht="17.100000000000001" customHeight="1">
      <c r="A120" s="111" t="s">
        <v>337</v>
      </c>
      <c r="B120" s="112">
        <v>79773</v>
      </c>
      <c r="C120" s="113">
        <v>6751</v>
      </c>
      <c r="D120" s="114">
        <v>0.16556307631940356</v>
      </c>
      <c r="E120" s="115">
        <v>10882</v>
      </c>
      <c r="F120" s="114">
        <v>0.2668726701981558</v>
      </c>
      <c r="G120" s="113">
        <v>16426</v>
      </c>
      <c r="H120" s="114">
        <v>0.40283500098096919</v>
      </c>
      <c r="I120" s="113">
        <v>1919</v>
      </c>
      <c r="J120" s="114">
        <v>4.7061997253286247E-2</v>
      </c>
      <c r="K120" s="113">
        <v>886</v>
      </c>
      <c r="L120" s="114">
        <v>2.17284677261134E-2</v>
      </c>
      <c r="M120" s="113">
        <v>500</v>
      </c>
      <c r="N120" s="114">
        <v>1.2262114969589955E-2</v>
      </c>
      <c r="O120" s="113">
        <v>357</v>
      </c>
      <c r="P120" s="114">
        <v>8.755150088287228E-3</v>
      </c>
      <c r="Q120" s="113">
        <v>184</v>
      </c>
      <c r="R120" s="114">
        <v>4.5124583088091037E-3</v>
      </c>
      <c r="S120" s="113">
        <v>89</v>
      </c>
      <c r="T120" s="114">
        <v>2.1826564645870119E-3</v>
      </c>
      <c r="U120" s="116"/>
      <c r="V120" s="117"/>
      <c r="W120" s="113">
        <v>950</v>
      </c>
      <c r="X120" s="114">
        <v>2.3298018442220913E-2</v>
      </c>
      <c r="Y120" s="118"/>
      <c r="Z120" s="117"/>
      <c r="AA120" s="118"/>
      <c r="AB120" s="117"/>
      <c r="AC120" s="113">
        <v>49</v>
      </c>
      <c r="AD120" s="114">
        <v>1.2016872670198157E-3</v>
      </c>
      <c r="AE120" s="119">
        <v>38993</v>
      </c>
      <c r="AF120" s="114">
        <v>0.95627329801844219</v>
      </c>
      <c r="AG120" s="113">
        <v>1783</v>
      </c>
      <c r="AH120" s="114">
        <v>4.3726701981557779E-2</v>
      </c>
      <c r="AI120" s="119">
        <v>40776</v>
      </c>
      <c r="AJ120" s="120">
        <v>0.51115038922943856</v>
      </c>
      <c r="AL120" s="121">
        <v>0</v>
      </c>
      <c r="AM120" s="120">
        <v>0</v>
      </c>
      <c r="AO120" s="121">
        <v>0</v>
      </c>
      <c r="AP120" s="120">
        <v>0</v>
      </c>
      <c r="AR120" s="122"/>
      <c r="AS120" s="117"/>
      <c r="AT120" s="123">
        <v>13348</v>
      </c>
      <c r="AU120" s="114">
        <v>0.32734942122817345</v>
      </c>
      <c r="AV120" s="116"/>
      <c r="AW120" s="117"/>
      <c r="AX120" s="116"/>
      <c r="AY120" s="117"/>
      <c r="AZ120" s="124" t="s">
        <v>10</v>
      </c>
      <c r="BA120" s="119">
        <v>16426</v>
      </c>
      <c r="BB120" s="125">
        <v>0.40283500098096919</v>
      </c>
      <c r="BC120" s="126">
        <v>3</v>
      </c>
      <c r="BD120" s="126"/>
      <c r="BE120" s="126">
        <v>1</v>
      </c>
      <c r="BF120" s="126">
        <v>4</v>
      </c>
      <c r="BG120" s="126"/>
      <c r="BH120" s="126">
        <v>5</v>
      </c>
      <c r="BI120" s="126"/>
      <c r="BJ120" s="126"/>
      <c r="BK120" s="126"/>
      <c r="BL120" s="126"/>
      <c r="BM120" s="126">
        <v>2</v>
      </c>
      <c r="BN120" s="126"/>
      <c r="BO120" s="126"/>
      <c r="BP120" s="124" t="s">
        <v>203</v>
      </c>
      <c r="BQ120" s="119">
        <v>13348</v>
      </c>
      <c r="BR120" s="114">
        <v>0.32734942122817345</v>
      </c>
      <c r="BS120" s="119">
        <v>3078</v>
      </c>
      <c r="BT120" s="127">
        <v>7.548557975279574E-2</v>
      </c>
    </row>
    <row r="121" spans="1:72" ht="17.100000000000001" customHeight="1">
      <c r="A121" s="111" t="s">
        <v>338</v>
      </c>
      <c r="B121" s="112">
        <v>313031</v>
      </c>
      <c r="C121" s="113">
        <v>15439</v>
      </c>
      <c r="D121" s="114">
        <v>0.10415570397355461</v>
      </c>
      <c r="E121" s="115">
        <v>54538</v>
      </c>
      <c r="F121" s="114">
        <v>0.36792821965863859</v>
      </c>
      <c r="G121" s="113">
        <v>36853</v>
      </c>
      <c r="H121" s="114">
        <v>0.24862038723605209</v>
      </c>
      <c r="I121" s="113">
        <v>3263</v>
      </c>
      <c r="J121" s="114">
        <v>2.2013087769007622E-2</v>
      </c>
      <c r="K121" s="113">
        <v>6276</v>
      </c>
      <c r="L121" s="114">
        <v>4.2339607366929773E-2</v>
      </c>
      <c r="M121" s="113">
        <v>14377</v>
      </c>
      <c r="N121" s="114">
        <v>9.6991162382783519E-2</v>
      </c>
      <c r="O121" s="113">
        <v>2496</v>
      </c>
      <c r="P121" s="114">
        <v>1.6838696620117385E-2</v>
      </c>
      <c r="Q121" s="113">
        <v>941</v>
      </c>
      <c r="R121" s="114">
        <v>6.3482425959657286E-3</v>
      </c>
      <c r="S121" s="113">
        <v>591</v>
      </c>
      <c r="T121" s="114">
        <v>3.9870471564460632E-3</v>
      </c>
      <c r="U121" s="116"/>
      <c r="V121" s="117"/>
      <c r="W121" s="113">
        <v>3017</v>
      </c>
      <c r="X121" s="114">
        <v>2.0353504688659516E-2</v>
      </c>
      <c r="Y121" s="113">
        <v>1989</v>
      </c>
      <c r="Z121" s="114">
        <v>1.3418336369156042E-2</v>
      </c>
      <c r="AA121" s="118"/>
      <c r="AB121" s="117"/>
      <c r="AC121" s="113">
        <v>254</v>
      </c>
      <c r="AD121" s="114">
        <v>1.713553261822843E-3</v>
      </c>
      <c r="AE121" s="119">
        <v>140034</v>
      </c>
      <c r="AF121" s="114">
        <v>0.94470754907913379</v>
      </c>
      <c r="AG121" s="113">
        <v>8196</v>
      </c>
      <c r="AH121" s="114">
        <v>5.5292450920866223E-2</v>
      </c>
      <c r="AI121" s="119">
        <v>148230</v>
      </c>
      <c r="AJ121" s="120">
        <v>0.47353137548677288</v>
      </c>
      <c r="AL121" s="121">
        <v>0</v>
      </c>
      <c r="AM121" s="120">
        <v>0</v>
      </c>
      <c r="AO121" s="121">
        <v>0</v>
      </c>
      <c r="AP121" s="120">
        <v>0</v>
      </c>
      <c r="AR121" s="122"/>
      <c r="AS121" s="117"/>
      <c r="AT121" s="123">
        <v>67859</v>
      </c>
      <c r="AU121" s="114">
        <v>0.45779531808675705</v>
      </c>
      <c r="AV121" s="119">
        <v>42105</v>
      </c>
      <c r="AW121" s="114">
        <v>0.28405181137421576</v>
      </c>
      <c r="AX121" s="116"/>
      <c r="AY121" s="117"/>
      <c r="AZ121" s="124" t="s">
        <v>203</v>
      </c>
      <c r="BA121" s="119">
        <v>67859</v>
      </c>
      <c r="BB121" s="125">
        <v>0.45779531808675705</v>
      </c>
      <c r="BC121" s="126">
        <v>3</v>
      </c>
      <c r="BD121" s="126"/>
      <c r="BE121" s="126"/>
      <c r="BF121" s="126"/>
      <c r="BG121" s="126"/>
      <c r="BH121" s="126">
        <v>4</v>
      </c>
      <c r="BI121" s="126"/>
      <c r="BJ121" s="126"/>
      <c r="BK121" s="126"/>
      <c r="BL121" s="126"/>
      <c r="BM121" s="126">
        <v>1</v>
      </c>
      <c r="BN121" s="126">
        <v>2</v>
      </c>
      <c r="BO121" s="126"/>
      <c r="BP121" s="124" t="s">
        <v>30</v>
      </c>
      <c r="BQ121" s="119">
        <v>42105</v>
      </c>
      <c r="BR121" s="128">
        <v>0.28405181137421576</v>
      </c>
      <c r="BS121" s="119">
        <v>25754</v>
      </c>
      <c r="BT121" s="127">
        <v>0.1737435067125413</v>
      </c>
    </row>
    <row r="122" spans="1:72" ht="17.100000000000001" customHeight="1">
      <c r="A122" s="111" t="s">
        <v>339</v>
      </c>
      <c r="B122" s="112">
        <v>41046</v>
      </c>
      <c r="C122" s="113">
        <v>3097</v>
      </c>
      <c r="D122" s="114">
        <v>0.12404373773380863</v>
      </c>
      <c r="E122" s="115">
        <v>10515</v>
      </c>
      <c r="F122" s="114">
        <v>0.42115592582208516</v>
      </c>
      <c r="G122" s="113">
        <v>3878</v>
      </c>
      <c r="H122" s="114">
        <v>0.15532502903833059</v>
      </c>
      <c r="I122" s="113">
        <v>4785</v>
      </c>
      <c r="J122" s="114">
        <v>0.19165298193615574</v>
      </c>
      <c r="K122" s="113">
        <v>351</v>
      </c>
      <c r="L122" s="114">
        <v>1.4058557295630231E-2</v>
      </c>
      <c r="M122" s="113">
        <v>305</v>
      </c>
      <c r="N122" s="114">
        <v>1.2216125285376698E-2</v>
      </c>
      <c r="O122" s="113">
        <v>284</v>
      </c>
      <c r="P122" s="114">
        <v>1.1375015019826171E-2</v>
      </c>
      <c r="Q122" s="113">
        <v>129</v>
      </c>
      <c r="R122" s="114">
        <v>5.1668202026675207E-3</v>
      </c>
      <c r="S122" s="113">
        <v>137</v>
      </c>
      <c r="T122" s="114">
        <v>5.4872431609724838E-3</v>
      </c>
      <c r="U122" s="116"/>
      <c r="V122" s="117"/>
      <c r="W122" s="113">
        <v>246</v>
      </c>
      <c r="X122" s="114">
        <v>9.853005967877599E-3</v>
      </c>
      <c r="Y122" s="118"/>
      <c r="Z122" s="117"/>
      <c r="AA122" s="118"/>
      <c r="AB122" s="117"/>
      <c r="AC122" s="113">
        <v>17</v>
      </c>
      <c r="AD122" s="114">
        <v>6.8089878639804541E-4</v>
      </c>
      <c r="AE122" s="119">
        <v>23744</v>
      </c>
      <c r="AF122" s="114">
        <v>0.95101534024912882</v>
      </c>
      <c r="AG122" s="133">
        <v>1223</v>
      </c>
      <c r="AH122" s="114">
        <v>4.898465975087115E-2</v>
      </c>
      <c r="AI122" s="135">
        <v>24967</v>
      </c>
      <c r="AJ122" s="120">
        <v>0.60826877162208259</v>
      </c>
      <c r="AL122" s="121">
        <v>0</v>
      </c>
      <c r="AM122" s="120">
        <v>0</v>
      </c>
      <c r="AO122" s="121">
        <v>0</v>
      </c>
      <c r="AP122" s="120">
        <v>0</v>
      </c>
      <c r="AR122" s="122"/>
      <c r="AS122" s="117"/>
      <c r="AT122" s="123">
        <v>11662</v>
      </c>
      <c r="AU122" s="114">
        <v>0.46709656746905914</v>
      </c>
      <c r="AV122" s="116"/>
      <c r="AW122" s="117"/>
      <c r="AX122" s="116"/>
      <c r="AY122" s="117"/>
      <c r="AZ122" s="124" t="s">
        <v>203</v>
      </c>
      <c r="BA122" s="119">
        <v>11662</v>
      </c>
      <c r="BB122" s="125">
        <v>0.46709656746905914</v>
      </c>
      <c r="BC122" s="126">
        <v>4</v>
      </c>
      <c r="BD122" s="126"/>
      <c r="BE122" s="126">
        <v>3</v>
      </c>
      <c r="BF122" s="126">
        <v>2</v>
      </c>
      <c r="BG122" s="126"/>
      <c r="BH122" s="126">
        <v>5</v>
      </c>
      <c r="BI122" s="126"/>
      <c r="BJ122" s="126"/>
      <c r="BK122" s="126"/>
      <c r="BL122" s="126"/>
      <c r="BM122" s="126">
        <v>1</v>
      </c>
      <c r="BN122" s="126"/>
      <c r="BO122" s="126"/>
      <c r="BP122" s="124" t="s">
        <v>11</v>
      </c>
      <c r="BQ122" s="119">
        <v>4785</v>
      </c>
      <c r="BR122" s="114">
        <v>0.19165298193615574</v>
      </c>
      <c r="BS122" s="119">
        <v>6877</v>
      </c>
      <c r="BT122" s="127">
        <v>0.27544358553290338</v>
      </c>
    </row>
    <row r="123" spans="1:72" ht="17.100000000000001" customHeight="1">
      <c r="A123" s="111" t="s">
        <v>340</v>
      </c>
      <c r="B123" s="112">
        <v>25455</v>
      </c>
      <c r="C123" s="113">
        <v>3247</v>
      </c>
      <c r="D123" s="114">
        <v>0.18787247584331424</v>
      </c>
      <c r="E123" s="115">
        <v>4960</v>
      </c>
      <c r="F123" s="114">
        <v>0.28698721286813633</v>
      </c>
      <c r="G123" s="113">
        <v>4821</v>
      </c>
      <c r="H123" s="114">
        <v>0.27894462766880751</v>
      </c>
      <c r="I123" s="113">
        <v>443</v>
      </c>
      <c r="J123" s="114">
        <v>2.5632124052537175E-2</v>
      </c>
      <c r="K123" s="113">
        <v>92</v>
      </c>
      <c r="L123" s="114">
        <v>5.3231499161025281E-3</v>
      </c>
      <c r="M123" s="113">
        <v>1497</v>
      </c>
      <c r="N123" s="114">
        <v>8.661690678701614E-2</v>
      </c>
      <c r="O123" s="113">
        <v>65</v>
      </c>
      <c r="P123" s="114">
        <v>3.7609211363767866E-3</v>
      </c>
      <c r="Q123" s="113">
        <v>31</v>
      </c>
      <c r="R123" s="114">
        <v>1.793670080425852E-3</v>
      </c>
      <c r="S123" s="113">
        <v>17</v>
      </c>
      <c r="T123" s="114">
        <v>9.8362552797546729E-4</v>
      </c>
      <c r="U123" s="116"/>
      <c r="V123" s="117"/>
      <c r="W123" s="113">
        <v>142</v>
      </c>
      <c r="X123" s="114">
        <v>8.2161661748539026E-3</v>
      </c>
      <c r="Y123" s="118"/>
      <c r="Z123" s="117"/>
      <c r="AA123" s="118"/>
      <c r="AB123" s="117"/>
      <c r="AC123" s="113">
        <v>14</v>
      </c>
      <c r="AD123" s="114">
        <v>8.1004455245038481E-4</v>
      </c>
      <c r="AE123" s="119">
        <v>15329</v>
      </c>
      <c r="AF123" s="139">
        <v>0.88694092460799634</v>
      </c>
      <c r="AG123" s="113">
        <v>954</v>
      </c>
      <c r="AH123" s="137">
        <v>5.519875021697622E-2</v>
      </c>
      <c r="AI123" s="119">
        <v>17283</v>
      </c>
      <c r="AJ123" s="140">
        <v>0.67896287566293456</v>
      </c>
      <c r="AL123" s="121">
        <v>1000</v>
      </c>
      <c r="AM123" s="120">
        <v>5.7860325175027483E-2</v>
      </c>
      <c r="AO123" s="121">
        <v>0</v>
      </c>
      <c r="AP123" s="120">
        <v>0</v>
      </c>
      <c r="AR123" s="122"/>
      <c r="AS123" s="117"/>
      <c r="AT123" s="123">
        <v>5307</v>
      </c>
      <c r="AU123" s="114">
        <v>0.30706474570387088</v>
      </c>
      <c r="AV123" s="116"/>
      <c r="AW123" s="117"/>
      <c r="AX123" s="116"/>
      <c r="AY123" s="117"/>
      <c r="AZ123" s="124" t="s">
        <v>203</v>
      </c>
      <c r="BA123" s="119">
        <v>5307</v>
      </c>
      <c r="BB123" s="125">
        <v>0.30706474570387088</v>
      </c>
      <c r="BC123" s="126">
        <v>3</v>
      </c>
      <c r="BD123" s="126"/>
      <c r="BE123" s="126">
        <v>2</v>
      </c>
      <c r="BF123" s="126">
        <v>5</v>
      </c>
      <c r="BG123" s="126"/>
      <c r="BH123" s="126">
        <v>4</v>
      </c>
      <c r="BI123" s="126"/>
      <c r="BJ123" s="126"/>
      <c r="BK123" s="126"/>
      <c r="BL123" s="126"/>
      <c r="BM123" s="126">
        <v>1</v>
      </c>
      <c r="BN123" s="126"/>
      <c r="BO123" s="126"/>
      <c r="BP123" s="124" t="s">
        <v>10</v>
      </c>
      <c r="BQ123" s="119">
        <v>4821</v>
      </c>
      <c r="BR123" s="114">
        <v>0.27894462766880751</v>
      </c>
      <c r="BS123" s="119">
        <v>486</v>
      </c>
      <c r="BT123" s="127">
        <v>2.8120118035063368E-2</v>
      </c>
    </row>
    <row r="124" spans="1:72" ht="17.100000000000001" customHeight="1">
      <c r="A124" s="111" t="s">
        <v>341</v>
      </c>
      <c r="B124" s="112">
        <v>25982</v>
      </c>
      <c r="C124" s="113">
        <v>3946</v>
      </c>
      <c r="D124" s="114">
        <v>0.21003885665619842</v>
      </c>
      <c r="E124" s="115">
        <v>7379</v>
      </c>
      <c r="F124" s="114">
        <v>0.39277159738116785</v>
      </c>
      <c r="G124" s="113">
        <v>531</v>
      </c>
      <c r="H124" s="114">
        <v>2.8264225262149358E-2</v>
      </c>
      <c r="I124" s="113">
        <v>722</v>
      </c>
      <c r="J124" s="114">
        <v>3.8430829829137168E-2</v>
      </c>
      <c r="K124" s="113">
        <v>141</v>
      </c>
      <c r="L124" s="114">
        <v>7.5051897588758187E-3</v>
      </c>
      <c r="M124" s="113">
        <v>5187</v>
      </c>
      <c r="N124" s="114">
        <v>0.27609517219353807</v>
      </c>
      <c r="O124" s="113">
        <v>37</v>
      </c>
      <c r="P124" s="114">
        <v>1.9694469580028742E-3</v>
      </c>
      <c r="Q124" s="113">
        <v>45</v>
      </c>
      <c r="R124" s="114">
        <v>2.3952733273007931E-3</v>
      </c>
      <c r="S124" s="113">
        <v>31</v>
      </c>
      <c r="T124" s="114">
        <v>1.6500771810294352E-3</v>
      </c>
      <c r="U124" s="116"/>
      <c r="V124" s="117"/>
      <c r="W124" s="113">
        <v>117</v>
      </c>
      <c r="X124" s="114">
        <v>6.2277106509820617E-3</v>
      </c>
      <c r="Y124" s="118"/>
      <c r="Z124" s="117"/>
      <c r="AA124" s="118"/>
      <c r="AB124" s="117"/>
      <c r="AC124" s="113">
        <v>13</v>
      </c>
      <c r="AD124" s="114">
        <v>6.9196785010911801E-4</v>
      </c>
      <c r="AE124" s="119">
        <v>18149</v>
      </c>
      <c r="AF124" s="114">
        <v>0.96604034704849095</v>
      </c>
      <c r="AG124" s="141">
        <v>638</v>
      </c>
      <c r="AH124" s="114">
        <v>3.3959652951509024E-2</v>
      </c>
      <c r="AI124" s="143">
        <v>18787</v>
      </c>
      <c r="AJ124" s="120">
        <v>0.7230775152028327</v>
      </c>
      <c r="AL124" s="121">
        <v>0</v>
      </c>
      <c r="AM124" s="120">
        <v>0</v>
      </c>
      <c r="AO124" s="121">
        <v>0</v>
      </c>
      <c r="AP124" s="120">
        <v>0</v>
      </c>
      <c r="AR124" s="122"/>
      <c r="AS124" s="117"/>
      <c r="AT124" s="123">
        <v>7750</v>
      </c>
      <c r="AU124" s="114">
        <v>0.41251929525735881</v>
      </c>
      <c r="AV124" s="116"/>
      <c r="AW124" s="117"/>
      <c r="AX124" s="116"/>
      <c r="AY124" s="117"/>
      <c r="AZ124" s="124" t="s">
        <v>203</v>
      </c>
      <c r="BA124" s="119">
        <v>7750</v>
      </c>
      <c r="BB124" s="125">
        <v>0.41251929525735881</v>
      </c>
      <c r="BC124" s="126">
        <v>3</v>
      </c>
      <c r="BD124" s="126"/>
      <c r="BE124" s="126">
        <v>5</v>
      </c>
      <c r="BF124" s="126">
        <v>4</v>
      </c>
      <c r="BG124" s="126"/>
      <c r="BH124" s="126">
        <v>2</v>
      </c>
      <c r="BI124" s="126"/>
      <c r="BJ124" s="126"/>
      <c r="BK124" s="126"/>
      <c r="BL124" s="126"/>
      <c r="BM124" s="126">
        <v>1</v>
      </c>
      <c r="BN124" s="126"/>
      <c r="BO124" s="126"/>
      <c r="BP124" s="124" t="s">
        <v>199</v>
      </c>
      <c r="BQ124" s="119">
        <v>5187</v>
      </c>
      <c r="BR124" s="114">
        <v>0.27609517219353807</v>
      </c>
      <c r="BS124" s="119">
        <v>2563</v>
      </c>
      <c r="BT124" s="127">
        <v>0.13642412306382073</v>
      </c>
    </row>
    <row r="125" spans="1:72" ht="17.100000000000001" customHeight="1">
      <c r="A125" s="111" t="s">
        <v>342</v>
      </c>
      <c r="B125" s="112">
        <v>33941</v>
      </c>
      <c r="C125" s="113">
        <v>5372</v>
      </c>
      <c r="D125" s="114">
        <v>0.24367232150957091</v>
      </c>
      <c r="E125" s="115">
        <v>5743</v>
      </c>
      <c r="F125" s="114">
        <v>0.26050077111494147</v>
      </c>
      <c r="G125" s="113">
        <v>8706</v>
      </c>
      <c r="H125" s="114">
        <v>0.39490156944570443</v>
      </c>
      <c r="I125" s="113">
        <v>1169</v>
      </c>
      <c r="J125" s="114">
        <v>5.3025492152771476E-2</v>
      </c>
      <c r="K125" s="113">
        <v>100</v>
      </c>
      <c r="L125" s="114">
        <v>4.5359702440351994E-3</v>
      </c>
      <c r="M125" s="113">
        <v>41</v>
      </c>
      <c r="N125" s="114">
        <v>1.8597478000544317E-3</v>
      </c>
      <c r="O125" s="113">
        <v>19</v>
      </c>
      <c r="P125" s="114">
        <v>8.6183434636668784E-4</v>
      </c>
      <c r="Q125" s="113">
        <v>27</v>
      </c>
      <c r="R125" s="114">
        <v>1.2247119658895039E-3</v>
      </c>
      <c r="S125" s="113">
        <v>14</v>
      </c>
      <c r="T125" s="114">
        <v>6.3503583416492783E-4</v>
      </c>
      <c r="U125" s="116"/>
      <c r="V125" s="117"/>
      <c r="W125" s="113">
        <v>61</v>
      </c>
      <c r="X125" s="114">
        <v>2.7669418488614713E-3</v>
      </c>
      <c r="Y125" s="118"/>
      <c r="Z125" s="117"/>
      <c r="AA125" s="118"/>
      <c r="AB125" s="117"/>
      <c r="AC125" s="113">
        <v>21</v>
      </c>
      <c r="AD125" s="114">
        <v>9.5255375124739185E-4</v>
      </c>
      <c r="AE125" s="119">
        <v>21273</v>
      </c>
      <c r="AF125" s="114">
        <v>0.96493695001360791</v>
      </c>
      <c r="AG125" s="113">
        <v>773</v>
      </c>
      <c r="AH125" s="114">
        <v>3.5063049986392092E-2</v>
      </c>
      <c r="AI125" s="119">
        <v>22046</v>
      </c>
      <c r="AJ125" s="120">
        <v>0.64953890574821016</v>
      </c>
      <c r="AL125" s="121">
        <v>0</v>
      </c>
      <c r="AM125" s="120">
        <v>0</v>
      </c>
      <c r="AO125" s="121">
        <v>0</v>
      </c>
      <c r="AP125" s="120">
        <v>0</v>
      </c>
      <c r="AR125" s="122"/>
      <c r="AS125" s="117"/>
      <c r="AT125" s="123">
        <v>5964</v>
      </c>
      <c r="AU125" s="114">
        <v>0.2705252653542593</v>
      </c>
      <c r="AV125" s="116"/>
      <c r="AW125" s="117"/>
      <c r="AX125" s="116"/>
      <c r="AY125" s="117"/>
      <c r="AZ125" s="124" t="s">
        <v>10</v>
      </c>
      <c r="BA125" s="119">
        <v>8706</v>
      </c>
      <c r="BB125" s="125">
        <v>0.39490156944570443</v>
      </c>
      <c r="BC125" s="126">
        <v>3</v>
      </c>
      <c r="BD125" s="126"/>
      <c r="BE125" s="126">
        <v>1</v>
      </c>
      <c r="BF125" s="126">
        <v>4</v>
      </c>
      <c r="BG125" s="126"/>
      <c r="BH125" s="126">
        <v>5</v>
      </c>
      <c r="BI125" s="126"/>
      <c r="BJ125" s="126"/>
      <c r="BK125" s="126"/>
      <c r="BL125" s="126"/>
      <c r="BM125" s="126">
        <v>2</v>
      </c>
      <c r="BN125" s="126"/>
      <c r="BO125" s="126"/>
      <c r="BP125" s="124" t="s">
        <v>203</v>
      </c>
      <c r="BQ125" s="119">
        <v>5964</v>
      </c>
      <c r="BR125" s="114">
        <v>0.2705252653542593</v>
      </c>
      <c r="BS125" s="119">
        <v>2742</v>
      </c>
      <c r="BT125" s="127">
        <v>0.12437630409144512</v>
      </c>
    </row>
    <row r="126" spans="1:72" ht="17.100000000000001" customHeight="1">
      <c r="A126" s="111" t="s">
        <v>343</v>
      </c>
      <c r="B126" s="112">
        <v>46443</v>
      </c>
      <c r="C126" s="113">
        <v>13053</v>
      </c>
      <c r="D126" s="114">
        <v>0.39290229366082718</v>
      </c>
      <c r="E126" s="115">
        <v>15126</v>
      </c>
      <c r="F126" s="114">
        <v>0.4553007043525375</v>
      </c>
      <c r="G126" s="113">
        <v>1062</v>
      </c>
      <c r="H126" s="114">
        <v>3.1966769008488348E-2</v>
      </c>
      <c r="I126" s="113">
        <v>764</v>
      </c>
      <c r="J126" s="114">
        <v>2.2996809343206311E-2</v>
      </c>
      <c r="K126" s="113">
        <v>269</v>
      </c>
      <c r="L126" s="114">
        <v>8.0970441273854679E-3</v>
      </c>
      <c r="M126" s="113">
        <v>67</v>
      </c>
      <c r="N126" s="114">
        <v>2.0167358978989826E-3</v>
      </c>
      <c r="O126" s="113">
        <v>176</v>
      </c>
      <c r="P126" s="114">
        <v>5.2976942989585215E-3</v>
      </c>
      <c r="Q126" s="113">
        <v>41</v>
      </c>
      <c r="R126" s="114">
        <v>1.2341219673710191E-3</v>
      </c>
      <c r="S126" s="113">
        <v>25</v>
      </c>
      <c r="T126" s="114">
        <v>7.5251339473842631E-4</v>
      </c>
      <c r="U126" s="116"/>
      <c r="V126" s="117"/>
      <c r="W126" s="113">
        <v>407</v>
      </c>
      <c r="X126" s="114">
        <v>1.2250918066341581E-2</v>
      </c>
      <c r="Y126" s="118"/>
      <c r="Z126" s="117"/>
      <c r="AA126" s="118"/>
      <c r="AB126" s="117"/>
      <c r="AC126" s="113">
        <v>29</v>
      </c>
      <c r="AD126" s="114">
        <v>8.7291553789657454E-4</v>
      </c>
      <c r="AE126" s="119">
        <v>31019</v>
      </c>
      <c r="AF126" s="114">
        <v>0.93368851965564992</v>
      </c>
      <c r="AG126" s="113">
        <v>2203</v>
      </c>
      <c r="AH126" s="114">
        <v>6.6311480344350124E-2</v>
      </c>
      <c r="AI126" s="119">
        <v>33222</v>
      </c>
      <c r="AJ126" s="120">
        <v>0.71532846715328469</v>
      </c>
      <c r="AL126" s="121">
        <v>0</v>
      </c>
      <c r="AM126" s="120">
        <v>0</v>
      </c>
      <c r="AO126" s="121">
        <v>0</v>
      </c>
      <c r="AP126" s="120">
        <v>0</v>
      </c>
      <c r="AR126" s="122"/>
      <c r="AS126" s="117"/>
      <c r="AT126" s="123">
        <v>16044</v>
      </c>
      <c r="AU126" s="114">
        <v>0.48293299620733249</v>
      </c>
      <c r="AV126" s="116"/>
      <c r="AW126" s="117"/>
      <c r="AX126" s="116"/>
      <c r="AY126" s="117"/>
      <c r="AZ126" s="124" t="s">
        <v>203</v>
      </c>
      <c r="BA126" s="119">
        <v>16044</v>
      </c>
      <c r="BB126" s="125">
        <v>0.48293299620733249</v>
      </c>
      <c r="BC126" s="126">
        <v>2</v>
      </c>
      <c r="BD126" s="126"/>
      <c r="BE126" s="126">
        <v>3</v>
      </c>
      <c r="BF126" s="126">
        <v>4</v>
      </c>
      <c r="BG126" s="126"/>
      <c r="BH126" s="126">
        <v>5</v>
      </c>
      <c r="BI126" s="126"/>
      <c r="BJ126" s="126"/>
      <c r="BK126" s="126"/>
      <c r="BL126" s="126"/>
      <c r="BM126" s="126">
        <v>1</v>
      </c>
      <c r="BN126" s="126"/>
      <c r="BO126" s="126"/>
      <c r="BP126" s="124" t="s">
        <v>7</v>
      </c>
      <c r="BQ126" s="119">
        <v>13053</v>
      </c>
      <c r="BR126" s="114">
        <v>0.39290229366082718</v>
      </c>
      <c r="BS126" s="119">
        <v>2991</v>
      </c>
      <c r="BT126" s="127">
        <v>9.0030702546505303E-2</v>
      </c>
    </row>
    <row r="127" spans="1:72" ht="17.100000000000001" customHeight="1">
      <c r="A127" s="111" t="s">
        <v>344</v>
      </c>
      <c r="B127" s="112">
        <v>32111</v>
      </c>
      <c r="C127" s="113">
        <v>4545</v>
      </c>
      <c r="D127" s="114">
        <v>0.20683535086920907</v>
      </c>
      <c r="E127" s="115">
        <v>6220</v>
      </c>
      <c r="F127" s="114">
        <v>0.28306180030945666</v>
      </c>
      <c r="G127" s="113">
        <v>3227</v>
      </c>
      <c r="H127" s="114">
        <v>0.14685537453353964</v>
      </c>
      <c r="I127" s="113">
        <v>5829</v>
      </c>
      <c r="J127" s="114">
        <v>0.2652680440520615</v>
      </c>
      <c r="K127" s="113">
        <v>94</v>
      </c>
      <c r="L127" s="114">
        <v>4.277782834258669E-3</v>
      </c>
      <c r="M127" s="113">
        <v>262</v>
      </c>
      <c r="N127" s="114">
        <v>1.1923181942295439E-2</v>
      </c>
      <c r="O127" s="113">
        <v>80</v>
      </c>
      <c r="P127" s="114">
        <v>3.6406662419222716E-3</v>
      </c>
      <c r="Q127" s="113">
        <v>36</v>
      </c>
      <c r="R127" s="114">
        <v>1.6382998088650222E-3</v>
      </c>
      <c r="S127" s="113">
        <v>22</v>
      </c>
      <c r="T127" s="114">
        <v>1.0011832165286248E-3</v>
      </c>
      <c r="U127" s="116"/>
      <c r="V127" s="117"/>
      <c r="W127" s="113">
        <v>73</v>
      </c>
      <c r="X127" s="114">
        <v>3.3221079457540731E-3</v>
      </c>
      <c r="Y127" s="118"/>
      <c r="Z127" s="117"/>
      <c r="AA127" s="113">
        <v>277</v>
      </c>
      <c r="AB127" s="114">
        <v>1.2605806862655866E-2</v>
      </c>
      <c r="AC127" s="113">
        <v>4</v>
      </c>
      <c r="AD127" s="114">
        <v>1.8203331209611358E-4</v>
      </c>
      <c r="AE127" s="119">
        <v>20669</v>
      </c>
      <c r="AF127" s="114">
        <v>0.94061163192864294</v>
      </c>
      <c r="AG127" s="113">
        <v>507</v>
      </c>
      <c r="AH127" s="114">
        <v>2.3072722308182397E-2</v>
      </c>
      <c r="AI127" s="119">
        <v>21974</v>
      </c>
      <c r="AJ127" s="120">
        <v>0.68431378655289465</v>
      </c>
      <c r="AL127" s="121">
        <v>798</v>
      </c>
      <c r="AM127" s="120">
        <v>3.6315645763174663E-2</v>
      </c>
      <c r="AO127" s="121">
        <v>0</v>
      </c>
      <c r="AP127" s="120">
        <v>0</v>
      </c>
      <c r="AR127" s="122"/>
      <c r="AS127" s="117"/>
      <c r="AT127" s="123">
        <v>6525</v>
      </c>
      <c r="AU127" s="114">
        <v>0.29694184035678528</v>
      </c>
      <c r="AV127" s="116"/>
      <c r="AW127" s="117"/>
      <c r="AX127" s="119">
        <v>6368</v>
      </c>
      <c r="AY127" s="114">
        <v>0.28979703285701286</v>
      </c>
      <c r="AZ127" s="124" t="s">
        <v>203</v>
      </c>
      <c r="BA127" s="119">
        <v>6525</v>
      </c>
      <c r="BB127" s="125">
        <v>0.29694184035678528</v>
      </c>
      <c r="BC127" s="126">
        <v>3</v>
      </c>
      <c r="BD127" s="126"/>
      <c r="BE127" s="126">
        <v>4</v>
      </c>
      <c r="BF127" s="126"/>
      <c r="BG127" s="126"/>
      <c r="BH127" s="126"/>
      <c r="BI127" s="126"/>
      <c r="BJ127" s="126"/>
      <c r="BK127" s="126"/>
      <c r="BL127" s="126"/>
      <c r="BM127" s="126">
        <v>1</v>
      </c>
      <c r="BN127" s="126"/>
      <c r="BO127" s="126">
        <v>2</v>
      </c>
      <c r="BP127" s="124" t="s">
        <v>28</v>
      </c>
      <c r="BQ127" s="119">
        <v>6368</v>
      </c>
      <c r="BR127" s="114">
        <v>0.28979703285701286</v>
      </c>
      <c r="BS127" s="119">
        <v>157</v>
      </c>
      <c r="BT127" s="127">
        <v>7.1448074997724209E-3</v>
      </c>
    </row>
    <row r="128" spans="1:72" ht="17.100000000000001" customHeight="1">
      <c r="A128" s="111" t="s">
        <v>345</v>
      </c>
      <c r="B128" s="112">
        <v>2862</v>
      </c>
      <c r="C128" s="113">
        <v>384</v>
      </c>
      <c r="D128" s="114">
        <v>0.17235188509874327</v>
      </c>
      <c r="E128" s="115">
        <v>825</v>
      </c>
      <c r="F128" s="114">
        <v>0.37028725314183125</v>
      </c>
      <c r="G128" s="113">
        <v>943</v>
      </c>
      <c r="H128" s="114">
        <v>0.42324955116696589</v>
      </c>
      <c r="I128" s="113">
        <v>4</v>
      </c>
      <c r="J128" s="114">
        <v>1.7953321364452424E-3</v>
      </c>
      <c r="K128" s="113">
        <v>3</v>
      </c>
      <c r="L128" s="114">
        <v>1.3464991023339318E-3</v>
      </c>
      <c r="M128" s="113"/>
      <c r="N128" s="114">
        <v>0</v>
      </c>
      <c r="O128" s="113">
        <v>2</v>
      </c>
      <c r="P128" s="114">
        <v>8.9766606822262122E-4</v>
      </c>
      <c r="Q128" s="113">
        <v>0</v>
      </c>
      <c r="R128" s="114">
        <v>0</v>
      </c>
      <c r="S128" s="113">
        <v>1</v>
      </c>
      <c r="T128" s="114">
        <v>4.4883303411131061E-4</v>
      </c>
      <c r="U128" s="116"/>
      <c r="V128" s="117"/>
      <c r="W128" s="113">
        <v>7</v>
      </c>
      <c r="X128" s="114">
        <v>3.1418312387791743E-3</v>
      </c>
      <c r="Y128" s="113">
        <v>13</v>
      </c>
      <c r="Z128" s="114">
        <v>5.8348294434470375E-3</v>
      </c>
      <c r="AA128" s="118"/>
      <c r="AB128" s="117"/>
      <c r="AC128" s="113">
        <v>0</v>
      </c>
      <c r="AD128" s="114">
        <v>0</v>
      </c>
      <c r="AE128" s="119">
        <v>2182</v>
      </c>
      <c r="AF128" s="114">
        <v>0.97935368043087967</v>
      </c>
      <c r="AG128" s="113">
        <v>46</v>
      </c>
      <c r="AH128" s="114">
        <v>2.0646319569120289E-2</v>
      </c>
      <c r="AI128" s="119">
        <v>2228</v>
      </c>
      <c r="AJ128" s="120">
        <v>0.77847658979734446</v>
      </c>
      <c r="AL128" s="121">
        <v>0</v>
      </c>
      <c r="AM128" s="120">
        <v>0</v>
      </c>
      <c r="AO128" s="121">
        <v>0</v>
      </c>
      <c r="AP128" s="120">
        <v>0</v>
      </c>
      <c r="AR128" s="122"/>
      <c r="AS128" s="117"/>
      <c r="AT128" s="123">
        <v>838</v>
      </c>
      <c r="AU128" s="114">
        <v>0.37612208258527829</v>
      </c>
      <c r="AV128" s="119">
        <v>960</v>
      </c>
      <c r="AW128" s="114">
        <v>0.43087971274685816</v>
      </c>
      <c r="AX128" s="116"/>
      <c r="AY128" s="117"/>
      <c r="AZ128" s="124" t="s">
        <v>256</v>
      </c>
      <c r="BA128" s="119">
        <v>960</v>
      </c>
      <c r="BB128" s="125">
        <v>0.43087971274685816</v>
      </c>
      <c r="BC128" s="126">
        <v>3</v>
      </c>
      <c r="BD128" s="126"/>
      <c r="BE128" s="126"/>
      <c r="BF128" s="126"/>
      <c r="BG128" s="126"/>
      <c r="BH128" s="126"/>
      <c r="BI128" s="126"/>
      <c r="BJ128" s="126"/>
      <c r="BK128" s="126"/>
      <c r="BL128" s="126"/>
      <c r="BM128" s="126">
        <v>2</v>
      </c>
      <c r="BN128" s="126">
        <v>1</v>
      </c>
      <c r="BO128" s="126"/>
      <c r="BP128" s="124" t="s">
        <v>203</v>
      </c>
      <c r="BQ128" s="119">
        <v>838</v>
      </c>
      <c r="BR128" s="114">
        <v>0.37612208258527829</v>
      </c>
      <c r="BS128" s="119">
        <v>122</v>
      </c>
      <c r="BT128" s="127">
        <v>5.4757630161579862E-2</v>
      </c>
    </row>
    <row r="129" spans="1:72" ht="17.100000000000001" customHeight="1">
      <c r="A129" s="111" t="s">
        <v>346</v>
      </c>
      <c r="B129" s="112">
        <v>9994</v>
      </c>
      <c r="C129" s="113">
        <v>1336</v>
      </c>
      <c r="D129" s="114">
        <v>0.20722816814022027</v>
      </c>
      <c r="E129" s="115">
        <v>2012</v>
      </c>
      <c r="F129" s="114">
        <v>0.31208313944470295</v>
      </c>
      <c r="G129" s="113">
        <v>275</v>
      </c>
      <c r="H129" s="114">
        <v>4.2655498681557311E-2</v>
      </c>
      <c r="I129" s="113">
        <v>1549</v>
      </c>
      <c r="J129" s="114">
        <v>0.24026679075539009</v>
      </c>
      <c r="K129" s="113">
        <v>38</v>
      </c>
      <c r="L129" s="114">
        <v>5.8942143632697381E-3</v>
      </c>
      <c r="M129" s="113">
        <v>507</v>
      </c>
      <c r="N129" s="114">
        <v>7.8641228478362024E-2</v>
      </c>
      <c r="O129" s="113">
        <v>34</v>
      </c>
      <c r="P129" s="114">
        <v>5.2737707460834499E-3</v>
      </c>
      <c r="Q129" s="113">
        <v>10</v>
      </c>
      <c r="R129" s="114">
        <v>1.5511090429657206E-3</v>
      </c>
      <c r="S129" s="113">
        <v>11</v>
      </c>
      <c r="T129" s="114">
        <v>1.7062199472622926E-3</v>
      </c>
      <c r="U129" s="116"/>
      <c r="V129" s="117"/>
      <c r="W129" s="113">
        <v>21</v>
      </c>
      <c r="X129" s="114">
        <v>3.2573289902280132E-3</v>
      </c>
      <c r="Y129" s="118"/>
      <c r="Z129" s="117"/>
      <c r="AA129" s="113">
        <v>107</v>
      </c>
      <c r="AB129" s="114">
        <v>1.6596866759733209E-2</v>
      </c>
      <c r="AC129" s="113">
        <v>4</v>
      </c>
      <c r="AD129" s="114">
        <v>6.2044361718628822E-4</v>
      </c>
      <c r="AE129" s="119">
        <v>5904</v>
      </c>
      <c r="AF129" s="114">
        <v>0.91577477896696136</v>
      </c>
      <c r="AG129" s="113">
        <v>228</v>
      </c>
      <c r="AH129" s="114">
        <v>3.5365286179618427E-2</v>
      </c>
      <c r="AI129" s="119">
        <v>6447</v>
      </c>
      <c r="AJ129" s="120">
        <v>0.64508705223133878</v>
      </c>
      <c r="AL129" s="121">
        <v>0</v>
      </c>
      <c r="AM129" s="120">
        <v>0</v>
      </c>
      <c r="AO129" s="121">
        <v>315</v>
      </c>
      <c r="AP129" s="120">
        <v>4.8859934853420196E-2</v>
      </c>
      <c r="AR129" s="122"/>
      <c r="AS129" s="117"/>
      <c r="AT129" s="123">
        <v>2126</v>
      </c>
      <c r="AU129" s="114">
        <v>0.32976578253451216</v>
      </c>
      <c r="AV129" s="116"/>
      <c r="AW129" s="117"/>
      <c r="AX129" s="119">
        <v>2163</v>
      </c>
      <c r="AY129" s="114">
        <v>0.33550488599348532</v>
      </c>
      <c r="AZ129" s="124" t="s">
        <v>287</v>
      </c>
      <c r="BA129" s="119">
        <v>2163</v>
      </c>
      <c r="BB129" s="125">
        <v>0.33550488599348532</v>
      </c>
      <c r="BC129" s="126">
        <v>3</v>
      </c>
      <c r="BD129" s="126"/>
      <c r="BE129" s="126">
        <v>4</v>
      </c>
      <c r="BF129" s="126"/>
      <c r="BG129" s="126"/>
      <c r="BH129" s="126"/>
      <c r="BI129" s="126"/>
      <c r="BJ129" s="126"/>
      <c r="BK129" s="126"/>
      <c r="BL129" s="126"/>
      <c r="BM129" s="126">
        <v>2</v>
      </c>
      <c r="BN129" s="126"/>
      <c r="BO129" s="126">
        <v>1</v>
      </c>
      <c r="BP129" s="124" t="s">
        <v>203</v>
      </c>
      <c r="BQ129" s="119">
        <v>2126</v>
      </c>
      <c r="BR129" s="114">
        <v>0.32976578253451216</v>
      </c>
      <c r="BS129" s="119">
        <v>37</v>
      </c>
      <c r="BT129" s="127">
        <v>5.7391034589731604E-3</v>
      </c>
    </row>
    <row r="130" spans="1:72" ht="17.100000000000001" customHeight="1">
      <c r="A130" s="111" t="s">
        <v>347</v>
      </c>
      <c r="B130" s="112">
        <v>92759</v>
      </c>
      <c r="C130" s="113">
        <v>20199</v>
      </c>
      <c r="D130" s="114">
        <v>0.37122325957509372</v>
      </c>
      <c r="E130" s="115">
        <v>14189</v>
      </c>
      <c r="F130" s="114">
        <v>0.26076968315812687</v>
      </c>
      <c r="G130" s="113">
        <v>6518</v>
      </c>
      <c r="H130" s="114">
        <v>0.11978975226053076</v>
      </c>
      <c r="I130" s="113">
        <v>6913</v>
      </c>
      <c r="J130" s="114">
        <v>0.12704918032786885</v>
      </c>
      <c r="K130" s="113">
        <v>979</v>
      </c>
      <c r="L130" s="114">
        <v>1.7992354627655666E-2</v>
      </c>
      <c r="M130" s="113">
        <v>2046</v>
      </c>
      <c r="N130" s="114">
        <v>3.7601999558920823E-2</v>
      </c>
      <c r="O130" s="113">
        <v>301</v>
      </c>
      <c r="P130" s="114">
        <v>5.531867970300669E-3</v>
      </c>
      <c r="Q130" s="113">
        <v>249</v>
      </c>
      <c r="R130" s="114">
        <v>4.5761964272586931E-3</v>
      </c>
      <c r="S130" s="113">
        <v>115</v>
      </c>
      <c r="T130" s="114">
        <v>2.1135043740351392E-3</v>
      </c>
      <c r="U130" s="116"/>
      <c r="V130" s="117"/>
      <c r="W130" s="113">
        <v>520</v>
      </c>
      <c r="X130" s="114">
        <v>9.5567154304197609E-3</v>
      </c>
      <c r="Y130" s="118"/>
      <c r="Z130" s="117"/>
      <c r="AA130" s="118"/>
      <c r="AB130" s="117"/>
      <c r="AC130" s="113">
        <v>55</v>
      </c>
      <c r="AD130" s="114">
        <v>1.0108064397559363E-3</v>
      </c>
      <c r="AE130" s="119">
        <v>52084</v>
      </c>
      <c r="AF130" s="114">
        <v>0.95721532014996691</v>
      </c>
      <c r="AG130" s="113">
        <v>2328</v>
      </c>
      <c r="AH130" s="114">
        <v>4.2784679850033078E-2</v>
      </c>
      <c r="AI130" s="119">
        <v>54412</v>
      </c>
      <c r="AJ130" s="120">
        <v>0.586595370799599</v>
      </c>
      <c r="AL130" s="121">
        <v>0</v>
      </c>
      <c r="AM130" s="120">
        <v>0</v>
      </c>
      <c r="AO130" s="121">
        <v>0</v>
      </c>
      <c r="AP130" s="120">
        <v>0</v>
      </c>
      <c r="AR130" s="122"/>
      <c r="AS130" s="117"/>
      <c r="AT130" s="123">
        <v>16353</v>
      </c>
      <c r="AU130" s="114">
        <v>0.30054032198779679</v>
      </c>
      <c r="AV130" s="116"/>
      <c r="AW130" s="117"/>
      <c r="AX130" s="116"/>
      <c r="AY130" s="117"/>
      <c r="AZ130" s="124" t="s">
        <v>7</v>
      </c>
      <c r="BA130" s="119">
        <v>20199</v>
      </c>
      <c r="BB130" s="125">
        <v>0.37122325957509372</v>
      </c>
      <c r="BC130" s="126">
        <v>1</v>
      </c>
      <c r="BD130" s="126"/>
      <c r="BE130" s="126">
        <v>4</v>
      </c>
      <c r="BF130" s="126">
        <v>3</v>
      </c>
      <c r="BG130" s="126"/>
      <c r="BH130" s="126">
        <v>5</v>
      </c>
      <c r="BI130" s="126"/>
      <c r="BJ130" s="126"/>
      <c r="BK130" s="126"/>
      <c r="BL130" s="126"/>
      <c r="BM130" s="126">
        <v>2</v>
      </c>
      <c r="BN130" s="126"/>
      <c r="BO130" s="126"/>
      <c r="BP130" s="124" t="s">
        <v>203</v>
      </c>
      <c r="BQ130" s="119">
        <v>16353</v>
      </c>
      <c r="BR130" s="114">
        <v>0.30054032198779679</v>
      </c>
      <c r="BS130" s="119">
        <v>3846</v>
      </c>
      <c r="BT130" s="127">
        <v>7.0682937587296935E-2</v>
      </c>
    </row>
    <row r="131" spans="1:72" ht="17.100000000000001" customHeight="1">
      <c r="A131" s="111" t="s">
        <v>348</v>
      </c>
      <c r="B131" s="112">
        <v>10112</v>
      </c>
      <c r="C131" s="113">
        <v>2252</v>
      </c>
      <c r="D131" s="114">
        <v>0.3399245283018868</v>
      </c>
      <c r="E131" s="115">
        <v>2450</v>
      </c>
      <c r="F131" s="114">
        <v>0.36981132075471695</v>
      </c>
      <c r="G131" s="113">
        <v>510</v>
      </c>
      <c r="H131" s="114">
        <v>7.6981132075471692E-2</v>
      </c>
      <c r="I131" s="113">
        <v>57</v>
      </c>
      <c r="J131" s="114">
        <v>8.6037735849056607E-3</v>
      </c>
      <c r="K131" s="113">
        <v>31</v>
      </c>
      <c r="L131" s="114">
        <v>4.6792452830188682E-3</v>
      </c>
      <c r="M131" s="113">
        <v>993</v>
      </c>
      <c r="N131" s="114">
        <v>0.14988679245283018</v>
      </c>
      <c r="O131" s="113">
        <v>67</v>
      </c>
      <c r="P131" s="114">
        <v>1.0113207547169812E-2</v>
      </c>
      <c r="Q131" s="113">
        <v>9</v>
      </c>
      <c r="R131" s="114">
        <v>1.358490566037736E-3</v>
      </c>
      <c r="S131" s="113">
        <v>2</v>
      </c>
      <c r="T131" s="114">
        <v>3.0188679245283021E-4</v>
      </c>
      <c r="U131" s="116"/>
      <c r="V131" s="117"/>
      <c r="W131" s="113">
        <v>62</v>
      </c>
      <c r="X131" s="114">
        <v>9.3584905660377363E-3</v>
      </c>
      <c r="Y131" s="118"/>
      <c r="Z131" s="117"/>
      <c r="AA131" s="118"/>
      <c r="AB131" s="117"/>
      <c r="AC131" s="113">
        <v>2</v>
      </c>
      <c r="AD131" s="114">
        <v>3.0188679245283021E-4</v>
      </c>
      <c r="AE131" s="119">
        <v>6435</v>
      </c>
      <c r="AF131" s="114">
        <v>0.97132075471698109</v>
      </c>
      <c r="AG131" s="113">
        <v>190</v>
      </c>
      <c r="AH131" s="114">
        <v>2.8679245283018868E-2</v>
      </c>
      <c r="AI131" s="119">
        <v>6625</v>
      </c>
      <c r="AJ131" s="120">
        <v>0.65516218354430378</v>
      </c>
      <c r="AL131" s="121">
        <v>0</v>
      </c>
      <c r="AM131" s="120">
        <v>0</v>
      </c>
      <c r="AO131" s="121">
        <v>0</v>
      </c>
      <c r="AP131" s="120">
        <v>0</v>
      </c>
      <c r="AR131" s="122"/>
      <c r="AS131" s="117"/>
      <c r="AT131" s="123">
        <v>2621</v>
      </c>
      <c r="AU131" s="114">
        <v>0.39562264150943394</v>
      </c>
      <c r="AV131" s="116"/>
      <c r="AW131" s="117"/>
      <c r="AX131" s="116"/>
      <c r="AY131" s="117"/>
      <c r="AZ131" s="124" t="s">
        <v>203</v>
      </c>
      <c r="BA131" s="119">
        <v>2621</v>
      </c>
      <c r="BB131" s="125">
        <v>0.39562264150943394</v>
      </c>
      <c r="BC131" s="126">
        <v>2</v>
      </c>
      <c r="BD131" s="126"/>
      <c r="BE131" s="126">
        <v>4</v>
      </c>
      <c r="BF131" s="126">
        <v>5</v>
      </c>
      <c r="BG131" s="126"/>
      <c r="BH131" s="126">
        <v>3</v>
      </c>
      <c r="BI131" s="126"/>
      <c r="BJ131" s="126"/>
      <c r="BK131" s="126"/>
      <c r="BL131" s="126"/>
      <c r="BM131" s="126">
        <v>1</v>
      </c>
      <c r="BN131" s="126"/>
      <c r="BO131" s="126"/>
      <c r="BP131" s="124" t="s">
        <v>7</v>
      </c>
      <c r="BQ131" s="119">
        <v>2252</v>
      </c>
      <c r="BR131" s="114">
        <v>0.3399245283018868</v>
      </c>
      <c r="BS131" s="119">
        <v>369</v>
      </c>
      <c r="BT131" s="127">
        <v>5.569811320754714E-2</v>
      </c>
    </row>
    <row r="132" spans="1:72" ht="17.100000000000001" customHeight="1">
      <c r="A132" s="111" t="s">
        <v>349</v>
      </c>
      <c r="B132" s="112">
        <v>87350</v>
      </c>
      <c r="C132" s="113">
        <v>20428</v>
      </c>
      <c r="D132" s="114">
        <v>0.43918904392320429</v>
      </c>
      <c r="E132" s="115">
        <v>13689</v>
      </c>
      <c r="F132" s="114">
        <v>0.29430481800786878</v>
      </c>
      <c r="G132" s="113">
        <v>2070</v>
      </c>
      <c r="H132" s="114">
        <v>4.4503687141229334E-2</v>
      </c>
      <c r="I132" s="113">
        <v>2549</v>
      </c>
      <c r="J132" s="114">
        <v>5.4801883344441339E-2</v>
      </c>
      <c r="K132" s="113">
        <v>502</v>
      </c>
      <c r="L132" s="114">
        <v>1.079268161589233E-2</v>
      </c>
      <c r="M132" s="113">
        <v>1058</v>
      </c>
      <c r="N132" s="114">
        <v>2.2746328983294994E-2</v>
      </c>
      <c r="O132" s="113">
        <v>218</v>
      </c>
      <c r="P132" s="114">
        <v>4.6868617375787416E-3</v>
      </c>
      <c r="Q132" s="113">
        <v>96</v>
      </c>
      <c r="R132" s="114">
        <v>2.063939113796143E-3</v>
      </c>
      <c r="S132" s="113">
        <v>73</v>
      </c>
      <c r="T132" s="114">
        <v>1.569453701115817E-3</v>
      </c>
      <c r="U132" s="116"/>
      <c r="V132" s="117"/>
      <c r="W132" s="113">
        <v>311</v>
      </c>
      <c r="X132" s="114">
        <v>6.6863027540687552E-3</v>
      </c>
      <c r="Y132" s="118"/>
      <c r="Z132" s="117"/>
      <c r="AA132" s="113">
        <v>127</v>
      </c>
      <c r="AB132" s="114">
        <v>2.7304194526261475E-3</v>
      </c>
      <c r="AC132" s="113">
        <v>34</v>
      </c>
      <c r="AD132" s="114">
        <v>7.3097843613613401E-4</v>
      </c>
      <c r="AE132" s="119">
        <v>41155</v>
      </c>
      <c r="AF132" s="114">
        <v>0.88480639821125273</v>
      </c>
      <c r="AG132" s="113">
        <v>1452</v>
      </c>
      <c r="AH132" s="114">
        <v>3.1217079096166663E-2</v>
      </c>
      <c r="AI132" s="135">
        <v>46513</v>
      </c>
      <c r="AJ132" s="120">
        <v>0.53248998282770466</v>
      </c>
      <c r="AL132" s="121">
        <v>3906</v>
      </c>
      <c r="AM132" s="120">
        <v>8.3976522692580574E-2</v>
      </c>
      <c r="AO132" s="121">
        <v>0</v>
      </c>
      <c r="AP132" s="120">
        <v>0</v>
      </c>
      <c r="AR132" s="122"/>
      <c r="AS132" s="117"/>
      <c r="AT132" s="123">
        <v>14889</v>
      </c>
      <c r="AU132" s="114">
        <v>0.32010405693032057</v>
      </c>
      <c r="AV132" s="116"/>
      <c r="AW132" s="117"/>
      <c r="AX132" s="119">
        <v>3734</v>
      </c>
      <c r="AY132" s="114">
        <v>8.0278631780362486E-2</v>
      </c>
      <c r="AZ132" s="124" t="s">
        <v>7</v>
      </c>
      <c r="BA132" s="119">
        <v>20428</v>
      </c>
      <c r="BB132" s="125">
        <v>0.43918904392320429</v>
      </c>
      <c r="BC132" s="126">
        <v>1</v>
      </c>
      <c r="BD132" s="126"/>
      <c r="BE132" s="126">
        <v>4</v>
      </c>
      <c r="BF132" s="126"/>
      <c r="BG132" s="126"/>
      <c r="BH132" s="126"/>
      <c r="BI132" s="126"/>
      <c r="BJ132" s="126"/>
      <c r="BK132" s="126"/>
      <c r="BL132" s="126"/>
      <c r="BM132" s="126">
        <v>2</v>
      </c>
      <c r="BN132" s="126"/>
      <c r="BO132" s="126">
        <v>3</v>
      </c>
      <c r="BP132" s="124" t="s">
        <v>203</v>
      </c>
      <c r="BQ132" s="119">
        <v>14889</v>
      </c>
      <c r="BR132" s="114">
        <v>0.32010405693032057</v>
      </c>
      <c r="BS132" s="119">
        <v>5539</v>
      </c>
      <c r="BT132" s="127">
        <v>0.11908498699288372</v>
      </c>
    </row>
    <row r="133" spans="1:72" ht="17.100000000000001" customHeight="1">
      <c r="A133" s="111" t="s">
        <v>350</v>
      </c>
      <c r="B133" s="112">
        <v>227389</v>
      </c>
      <c r="C133" s="113">
        <v>4531</v>
      </c>
      <c r="D133" s="114">
        <v>4.1948654328645626E-2</v>
      </c>
      <c r="E133" s="115">
        <v>40397</v>
      </c>
      <c r="F133" s="114">
        <v>0.37400127762398971</v>
      </c>
      <c r="G133" s="113">
        <v>29491</v>
      </c>
      <c r="H133" s="114">
        <v>0.27303194985788748</v>
      </c>
      <c r="I133" s="113">
        <v>2135</v>
      </c>
      <c r="J133" s="114">
        <v>1.9766139261014878E-2</v>
      </c>
      <c r="K133" s="113">
        <v>2867</v>
      </c>
      <c r="L133" s="114">
        <v>2.6543101293362837E-2</v>
      </c>
      <c r="M133" s="113">
        <v>15375</v>
      </c>
      <c r="N133" s="114">
        <v>0.14234397711386593</v>
      </c>
      <c r="O133" s="113">
        <v>1007</v>
      </c>
      <c r="P133" s="114">
        <v>9.3229518669049102E-3</v>
      </c>
      <c r="Q133" s="113">
        <v>760</v>
      </c>
      <c r="R133" s="114">
        <v>7.0361900882301206E-3</v>
      </c>
      <c r="S133" s="113">
        <v>247</v>
      </c>
      <c r="T133" s="114">
        <v>2.2867617786747891E-3</v>
      </c>
      <c r="U133" s="116"/>
      <c r="V133" s="117"/>
      <c r="W133" s="113">
        <v>838</v>
      </c>
      <c r="X133" s="114">
        <v>7.7583253867590015E-3</v>
      </c>
      <c r="Y133" s="118"/>
      <c r="Z133" s="117"/>
      <c r="AA133" s="118"/>
      <c r="AB133" s="117"/>
      <c r="AC133" s="113">
        <v>137</v>
      </c>
      <c r="AD133" s="114">
        <v>1.2683658448520085E-3</v>
      </c>
      <c r="AE133" s="119">
        <v>97785</v>
      </c>
      <c r="AF133" s="114">
        <v>0.90530769444418724</v>
      </c>
      <c r="AG133" s="113">
        <v>5501</v>
      </c>
      <c r="AH133" s="139">
        <v>5.0929054835991965E-2</v>
      </c>
      <c r="AI133" s="119">
        <v>108013</v>
      </c>
      <c r="AJ133" s="140">
        <v>0.47501418274410812</v>
      </c>
      <c r="AL133" s="121">
        <v>4727</v>
      </c>
      <c r="AM133" s="120">
        <v>4.3763250719820762E-2</v>
      </c>
      <c r="AO133" s="121">
        <v>0</v>
      </c>
      <c r="AP133" s="120">
        <v>0</v>
      </c>
      <c r="AR133" s="122"/>
      <c r="AS133" s="117"/>
      <c r="AT133" s="123">
        <v>46116</v>
      </c>
      <c r="AU133" s="114">
        <v>0.42694860803792134</v>
      </c>
      <c r="AV133" s="116"/>
      <c r="AW133" s="117"/>
      <c r="AX133" s="116"/>
      <c r="AY133" s="117"/>
      <c r="AZ133" s="124" t="s">
        <v>203</v>
      </c>
      <c r="BA133" s="119">
        <v>46116</v>
      </c>
      <c r="BB133" s="125">
        <v>0.42694860803792134</v>
      </c>
      <c r="BC133" s="126">
        <v>4</v>
      </c>
      <c r="BD133" s="126"/>
      <c r="BE133" s="126">
        <v>2</v>
      </c>
      <c r="BF133" s="126">
        <v>5</v>
      </c>
      <c r="BG133" s="126"/>
      <c r="BH133" s="126">
        <v>3</v>
      </c>
      <c r="BI133" s="126"/>
      <c r="BJ133" s="126"/>
      <c r="BK133" s="126"/>
      <c r="BL133" s="126"/>
      <c r="BM133" s="126">
        <v>1</v>
      </c>
      <c r="BN133" s="126"/>
      <c r="BO133" s="126"/>
      <c r="BP133" s="124" t="s">
        <v>10</v>
      </c>
      <c r="BQ133" s="119">
        <v>29491</v>
      </c>
      <c r="BR133" s="114">
        <v>0.27303194985788748</v>
      </c>
      <c r="BS133" s="119">
        <v>16625</v>
      </c>
      <c r="BT133" s="127">
        <v>0.15391665818003386</v>
      </c>
    </row>
    <row r="134" spans="1:72" ht="17.100000000000001" customHeight="1">
      <c r="A134" s="111" t="s">
        <v>351</v>
      </c>
      <c r="B134" s="112">
        <v>21035</v>
      </c>
      <c r="C134" s="113">
        <v>3635</v>
      </c>
      <c r="D134" s="114">
        <v>0.3083382814488082</v>
      </c>
      <c r="E134" s="115">
        <v>3147</v>
      </c>
      <c r="F134" s="114">
        <v>0.26694376113325979</v>
      </c>
      <c r="G134" s="113">
        <v>3935</v>
      </c>
      <c r="H134" s="114">
        <v>0.33378573246246501</v>
      </c>
      <c r="I134" s="113">
        <v>301</v>
      </c>
      <c r="J134" s="114">
        <v>2.5532275850368987E-2</v>
      </c>
      <c r="K134" s="113">
        <v>42</v>
      </c>
      <c r="L134" s="114">
        <v>3.5626431419119517E-3</v>
      </c>
      <c r="M134" s="113">
        <v>283</v>
      </c>
      <c r="N134" s="114">
        <v>2.4005428789549581E-2</v>
      </c>
      <c r="O134" s="113">
        <v>15</v>
      </c>
      <c r="P134" s="114">
        <v>1.27237255068284E-3</v>
      </c>
      <c r="Q134" s="113">
        <v>20</v>
      </c>
      <c r="R134" s="114">
        <v>1.6964967342437867E-3</v>
      </c>
      <c r="S134" s="113">
        <v>9</v>
      </c>
      <c r="T134" s="114">
        <v>7.6342353040970395E-4</v>
      </c>
      <c r="U134" s="116"/>
      <c r="V134" s="117"/>
      <c r="W134" s="113">
        <v>27</v>
      </c>
      <c r="X134" s="114">
        <v>2.2902705912291117E-3</v>
      </c>
      <c r="Y134" s="118"/>
      <c r="Z134" s="117"/>
      <c r="AA134" s="118"/>
      <c r="AB134" s="117"/>
      <c r="AC134" s="113">
        <v>6</v>
      </c>
      <c r="AD134" s="114">
        <v>5.08949020273136E-4</v>
      </c>
      <c r="AE134" s="119">
        <v>11420</v>
      </c>
      <c r="AF134" s="114">
        <v>0.96869963525320213</v>
      </c>
      <c r="AG134" s="113">
        <v>369</v>
      </c>
      <c r="AH134" s="114">
        <v>3.1300364746797864E-2</v>
      </c>
      <c r="AI134" s="143">
        <v>11789</v>
      </c>
      <c r="AJ134" s="120">
        <v>0.56044687425719042</v>
      </c>
      <c r="AL134" s="121">
        <v>0</v>
      </c>
      <c r="AM134" s="120">
        <v>0</v>
      </c>
      <c r="AO134" s="121">
        <v>0</v>
      </c>
      <c r="AP134" s="120">
        <v>0</v>
      </c>
      <c r="AR134" s="122"/>
      <c r="AS134" s="117"/>
      <c r="AT134" s="123">
        <v>3260</v>
      </c>
      <c r="AU134" s="114">
        <v>0.27652896768173724</v>
      </c>
      <c r="AV134" s="116"/>
      <c r="AW134" s="117"/>
      <c r="AX134" s="116"/>
      <c r="AY134" s="117"/>
      <c r="AZ134" s="124" t="s">
        <v>10</v>
      </c>
      <c r="BA134" s="119">
        <v>3935</v>
      </c>
      <c r="BB134" s="125">
        <v>0.33378573246246501</v>
      </c>
      <c r="BC134" s="126">
        <v>2</v>
      </c>
      <c r="BD134" s="126"/>
      <c r="BE134" s="126">
        <v>1</v>
      </c>
      <c r="BF134" s="126">
        <v>4</v>
      </c>
      <c r="BG134" s="126"/>
      <c r="BH134" s="126">
        <v>5</v>
      </c>
      <c r="BI134" s="126"/>
      <c r="BJ134" s="126"/>
      <c r="BK134" s="126"/>
      <c r="BL134" s="126"/>
      <c r="BM134" s="126">
        <v>3</v>
      </c>
      <c r="BN134" s="126"/>
      <c r="BO134" s="126"/>
      <c r="BP134" s="124" t="s">
        <v>7</v>
      </c>
      <c r="BQ134" s="119">
        <v>3635</v>
      </c>
      <c r="BR134" s="114">
        <v>0.3083382814488082</v>
      </c>
      <c r="BS134" s="119">
        <v>300</v>
      </c>
      <c r="BT134" s="127">
        <v>2.5447451013656808E-2</v>
      </c>
    </row>
    <row r="135" spans="1:72" ht="17.100000000000001" customHeight="1">
      <c r="A135" s="111" t="s">
        <v>352</v>
      </c>
      <c r="B135" s="112">
        <v>47008</v>
      </c>
      <c r="C135" s="113">
        <v>7618</v>
      </c>
      <c r="D135" s="114">
        <v>0.25953938402834559</v>
      </c>
      <c r="E135" s="115">
        <v>10176</v>
      </c>
      <c r="F135" s="114">
        <v>0.34668847097301719</v>
      </c>
      <c r="G135" s="113">
        <v>3122</v>
      </c>
      <c r="H135" s="114">
        <v>0.10636413191605341</v>
      </c>
      <c r="I135" s="113">
        <v>461</v>
      </c>
      <c r="J135" s="114">
        <v>1.5705914418097575E-2</v>
      </c>
      <c r="K135" s="113">
        <v>298</v>
      </c>
      <c r="L135" s="114">
        <v>1.015263014445353E-2</v>
      </c>
      <c r="M135" s="113">
        <v>4867</v>
      </c>
      <c r="N135" s="114">
        <v>0.16581493594985008</v>
      </c>
      <c r="O135" s="113">
        <v>67</v>
      </c>
      <c r="P135" s="114">
        <v>2.282638321068411E-3</v>
      </c>
      <c r="Q135" s="113">
        <v>58</v>
      </c>
      <c r="R135" s="114">
        <v>1.9760152630144455E-3</v>
      </c>
      <c r="S135" s="113">
        <v>26</v>
      </c>
      <c r="T135" s="114">
        <v>8.8579994548923415E-4</v>
      </c>
      <c r="U135" s="116"/>
      <c r="V135" s="117"/>
      <c r="W135" s="113">
        <v>688</v>
      </c>
      <c r="X135" s="114">
        <v>2.3439629326792041E-2</v>
      </c>
      <c r="Y135" s="118"/>
      <c r="Z135" s="117"/>
      <c r="AA135" s="118"/>
      <c r="AB135" s="117"/>
      <c r="AC135" s="113">
        <v>38</v>
      </c>
      <c r="AD135" s="114">
        <v>1.2946306895611883E-3</v>
      </c>
      <c r="AE135" s="119">
        <v>27419</v>
      </c>
      <c r="AF135" s="114">
        <v>0.9341441809757427</v>
      </c>
      <c r="AG135" s="113">
        <v>1933</v>
      </c>
      <c r="AH135" s="114">
        <v>6.5855819024257287E-2</v>
      </c>
      <c r="AI135" s="119">
        <v>29352</v>
      </c>
      <c r="AJ135" s="120">
        <v>0.62440435670524164</v>
      </c>
      <c r="AL135" s="121">
        <v>0</v>
      </c>
      <c r="AM135" s="120">
        <v>0</v>
      </c>
      <c r="AO135" s="121">
        <v>0</v>
      </c>
      <c r="AP135" s="120">
        <v>0</v>
      </c>
      <c r="AR135" s="122"/>
      <c r="AS135" s="117"/>
      <c r="AT135" s="123">
        <v>11313</v>
      </c>
      <c r="AU135" s="114">
        <v>0.38542518397383485</v>
      </c>
      <c r="AV135" s="116"/>
      <c r="AW135" s="117"/>
      <c r="AX135" s="116"/>
      <c r="AY135" s="117"/>
      <c r="AZ135" s="124" t="s">
        <v>203</v>
      </c>
      <c r="BA135" s="119">
        <v>11313</v>
      </c>
      <c r="BB135" s="125">
        <v>0.38542518397383485</v>
      </c>
      <c r="BC135" s="126">
        <v>2</v>
      </c>
      <c r="BD135" s="126"/>
      <c r="BE135" s="126">
        <v>4</v>
      </c>
      <c r="BF135" s="126">
        <v>5</v>
      </c>
      <c r="BG135" s="126"/>
      <c r="BH135" s="126">
        <v>3</v>
      </c>
      <c r="BI135" s="126"/>
      <c r="BJ135" s="126"/>
      <c r="BK135" s="126"/>
      <c r="BL135" s="126"/>
      <c r="BM135" s="126">
        <v>1</v>
      </c>
      <c r="BN135" s="126"/>
      <c r="BO135" s="126"/>
      <c r="BP135" s="124" t="s">
        <v>7</v>
      </c>
      <c r="BQ135" s="119">
        <v>7618</v>
      </c>
      <c r="BR135" s="114">
        <v>0.25953938402834559</v>
      </c>
      <c r="BS135" s="119">
        <v>3695</v>
      </c>
      <c r="BT135" s="127">
        <v>0.12588579994548926</v>
      </c>
    </row>
    <row r="136" spans="1:72" ht="17.100000000000001" customHeight="1">
      <c r="A136" s="144" t="s">
        <v>353</v>
      </c>
      <c r="B136" s="145">
        <v>5418</v>
      </c>
      <c r="C136" s="146">
        <v>901</v>
      </c>
      <c r="D136" s="147">
        <v>0.23549398849973863</v>
      </c>
      <c r="E136" s="148">
        <v>965</v>
      </c>
      <c r="F136" s="147">
        <v>0.25222164140094094</v>
      </c>
      <c r="G136" s="146">
        <v>422</v>
      </c>
      <c r="H136" s="147">
        <v>0.11029796131730267</v>
      </c>
      <c r="I136" s="146">
        <v>92</v>
      </c>
      <c r="J136" s="147">
        <v>2.4046001045478306E-2</v>
      </c>
      <c r="K136" s="146">
        <v>12</v>
      </c>
      <c r="L136" s="147">
        <v>3.1364349189754314E-3</v>
      </c>
      <c r="M136" s="146">
        <v>1251</v>
      </c>
      <c r="N136" s="147">
        <v>0.3269733403031887</v>
      </c>
      <c r="O136" s="146">
        <v>7</v>
      </c>
      <c r="P136" s="147">
        <v>1.8295870360690017E-3</v>
      </c>
      <c r="Q136" s="146">
        <v>4</v>
      </c>
      <c r="R136" s="147">
        <v>1.0454783063251437E-3</v>
      </c>
      <c r="S136" s="146">
        <v>5</v>
      </c>
      <c r="T136" s="147">
        <v>1.3068478829064297E-3</v>
      </c>
      <c r="U136" s="149"/>
      <c r="V136" s="150"/>
      <c r="W136" s="146">
        <v>11</v>
      </c>
      <c r="X136" s="147">
        <v>2.8750653423941452E-3</v>
      </c>
      <c r="Y136" s="151"/>
      <c r="Z136" s="150"/>
      <c r="AA136" s="151"/>
      <c r="AB136" s="150"/>
      <c r="AC136" s="146">
        <v>10</v>
      </c>
      <c r="AD136" s="147">
        <v>2.6136957658128594E-3</v>
      </c>
      <c r="AE136" s="152">
        <v>3680</v>
      </c>
      <c r="AF136" s="147">
        <v>0.9618400418191323</v>
      </c>
      <c r="AG136" s="146">
        <v>146</v>
      </c>
      <c r="AH136" s="147">
        <v>3.8159958180867745E-2</v>
      </c>
      <c r="AI136" s="152">
        <v>3826</v>
      </c>
      <c r="AJ136" s="153">
        <v>0.70616463639719451</v>
      </c>
      <c r="AL136" s="154">
        <v>0</v>
      </c>
      <c r="AM136" s="153">
        <v>0</v>
      </c>
      <c r="AO136" s="154">
        <v>0</v>
      </c>
      <c r="AP136" s="153">
        <v>0</v>
      </c>
      <c r="AR136" s="155"/>
      <c r="AS136" s="150"/>
      <c r="AT136" s="156">
        <v>1004</v>
      </c>
      <c r="AU136" s="147">
        <v>0.26241505488761108</v>
      </c>
      <c r="AV136" s="149"/>
      <c r="AW136" s="150"/>
      <c r="AX136" s="149"/>
      <c r="AY136" s="150"/>
      <c r="AZ136" s="124" t="s">
        <v>199</v>
      </c>
      <c r="BA136" s="152">
        <v>1251</v>
      </c>
      <c r="BB136" s="157">
        <v>0.3269733403031887</v>
      </c>
      <c r="BC136" s="158">
        <v>3</v>
      </c>
      <c r="BD136" s="158"/>
      <c r="BE136" s="158">
        <v>4</v>
      </c>
      <c r="BF136" s="158">
        <v>5</v>
      </c>
      <c r="BG136" s="158"/>
      <c r="BH136" s="158">
        <v>1</v>
      </c>
      <c r="BI136" s="158"/>
      <c r="BJ136" s="158"/>
      <c r="BK136" s="158"/>
      <c r="BL136" s="158"/>
      <c r="BM136" s="158">
        <v>2</v>
      </c>
      <c r="BN136" s="158"/>
      <c r="BO136" s="158"/>
      <c r="BP136" s="159" t="s">
        <v>203</v>
      </c>
      <c r="BQ136" s="152">
        <v>1004</v>
      </c>
      <c r="BR136" s="147">
        <v>0.26241505488761108</v>
      </c>
      <c r="BS136" s="152">
        <v>247</v>
      </c>
      <c r="BT136" s="160">
        <v>6.4558285415577621E-2</v>
      </c>
    </row>
    <row r="137" spans="1:72" ht="17.100000000000001" customHeight="1">
      <c r="A137" s="161"/>
      <c r="B137" s="162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2"/>
      <c r="AD137" s="163"/>
      <c r="AE137" s="162"/>
      <c r="AF137" s="163"/>
      <c r="AG137" s="162"/>
      <c r="AH137" s="163"/>
      <c r="AI137" s="162"/>
      <c r="AJ137" s="163"/>
      <c r="AL137" s="163"/>
      <c r="AM137" s="163"/>
      <c r="AZ137" t="s">
        <v>354</v>
      </c>
      <c r="BA137" s="162"/>
      <c r="BB137" s="164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165"/>
      <c r="BQ137" s="162"/>
      <c r="BR137" s="162"/>
      <c r="BS137" s="162"/>
    </row>
    <row r="138" spans="1:72">
      <c r="C138" s="166" t="s">
        <v>355</v>
      </c>
      <c r="BA138" t="s">
        <v>356</v>
      </c>
      <c r="BP138" t="s">
        <v>357</v>
      </c>
    </row>
    <row r="139" spans="1:72">
      <c r="A139" s="167"/>
      <c r="C139" t="s">
        <v>358</v>
      </c>
      <c r="G139" s="87">
        <v>12</v>
      </c>
      <c r="K139" s="48"/>
      <c r="AZ139" s="168" t="s">
        <v>7</v>
      </c>
      <c r="BA139" s="87">
        <v>12</v>
      </c>
      <c r="BP139" s="87">
        <v>39</v>
      </c>
    </row>
    <row r="140" spans="1:72" ht="27.75" customHeight="1">
      <c r="C140" t="s">
        <v>359</v>
      </c>
      <c r="G140" s="87">
        <v>97</v>
      </c>
      <c r="AZ140" s="169" t="s">
        <v>203</v>
      </c>
      <c r="BA140" s="87">
        <v>97</v>
      </c>
      <c r="BP140" s="87">
        <v>23</v>
      </c>
    </row>
    <row r="141" spans="1:72">
      <c r="C141" t="s">
        <v>360</v>
      </c>
      <c r="G141" s="87">
        <v>6</v>
      </c>
      <c r="M141" s="48"/>
      <c r="AZ141" s="170" t="s">
        <v>10</v>
      </c>
      <c r="BA141" s="87">
        <v>6</v>
      </c>
      <c r="BP141" s="87">
        <v>33</v>
      </c>
    </row>
    <row r="142" spans="1:72">
      <c r="C142" t="s">
        <v>361</v>
      </c>
      <c r="G142" s="87">
        <v>2</v>
      </c>
      <c r="AZ142" s="171" t="s">
        <v>11</v>
      </c>
      <c r="BA142" s="87">
        <v>2</v>
      </c>
      <c r="BP142" s="87">
        <v>10</v>
      </c>
    </row>
    <row r="143" spans="1:72">
      <c r="C143" t="s">
        <v>362</v>
      </c>
      <c r="G143" s="87">
        <v>2</v>
      </c>
      <c r="AZ143" s="172" t="s">
        <v>199</v>
      </c>
      <c r="BA143" s="87">
        <v>2</v>
      </c>
      <c r="BP143" s="87">
        <v>10</v>
      </c>
    </row>
    <row r="144" spans="1:72">
      <c r="C144" t="s">
        <v>363</v>
      </c>
      <c r="G144" s="87">
        <v>1</v>
      </c>
      <c r="AZ144" s="168" t="s">
        <v>283</v>
      </c>
      <c r="BA144" s="87">
        <v>1</v>
      </c>
      <c r="BP144" s="87">
        <v>0</v>
      </c>
    </row>
    <row r="145" spans="2:68">
      <c r="C145" t="s">
        <v>364</v>
      </c>
      <c r="G145" s="87">
        <v>3</v>
      </c>
      <c r="AZ145" s="170" t="s">
        <v>256</v>
      </c>
      <c r="BA145" s="87">
        <v>3</v>
      </c>
      <c r="BP145" s="87">
        <v>9</v>
      </c>
    </row>
    <row r="146" spans="2:68">
      <c r="C146" t="s">
        <v>365</v>
      </c>
      <c r="G146" s="87">
        <v>2</v>
      </c>
      <c r="AZ146" s="171" t="s">
        <v>287</v>
      </c>
      <c r="BA146" s="87">
        <v>2</v>
      </c>
      <c r="BP146" s="87">
        <v>1</v>
      </c>
    </row>
    <row r="147" spans="2:68">
      <c r="G147" s="87"/>
    </row>
    <row r="148" spans="2:68">
      <c r="F148" t="s">
        <v>219</v>
      </c>
      <c r="G148" s="87">
        <v>125</v>
      </c>
      <c r="AZ148" s="173" t="s">
        <v>219</v>
      </c>
      <c r="BA148" s="87">
        <v>125</v>
      </c>
      <c r="BP148" s="87">
        <v>125</v>
      </c>
    </row>
    <row r="149" spans="2:68">
      <c r="B149" t="s">
        <v>366</v>
      </c>
    </row>
    <row r="150" spans="2:68">
      <c r="C150" t="s">
        <v>367</v>
      </c>
    </row>
    <row r="151" spans="2:68">
      <c r="C151" t="s">
        <v>368</v>
      </c>
    </row>
    <row r="152" spans="2:68">
      <c r="C152" t="s">
        <v>369</v>
      </c>
    </row>
    <row r="153" spans="2:68">
      <c r="C153" t="s">
        <v>370</v>
      </c>
    </row>
    <row r="154" spans="2:68" ht="13.5">
      <c r="B154" s="174" t="s">
        <v>371</v>
      </c>
    </row>
    <row r="155" spans="2:68" ht="13.5">
      <c r="B155" s="174" t="s">
        <v>372</v>
      </c>
    </row>
    <row r="156" spans="2:68" ht="13.5">
      <c r="B156" s="174" t="s">
        <v>373</v>
      </c>
    </row>
    <row r="157" spans="2:68" ht="13.5">
      <c r="B157" s="174" t="s">
        <v>374</v>
      </c>
    </row>
    <row r="158" spans="2:68" ht="13.5">
      <c r="B158" s="174" t="s">
        <v>375</v>
      </c>
    </row>
    <row r="159" spans="2:68" ht="13.5">
      <c r="B159" s="174" t="s">
        <v>376</v>
      </c>
    </row>
    <row r="160" spans="2:68" ht="13.5">
      <c r="B160" s="175" t="s">
        <v>377</v>
      </c>
    </row>
    <row r="161" spans="2:2" ht="13.5">
      <c r="B161" s="174" t="s">
        <v>378</v>
      </c>
    </row>
    <row r="162" spans="2:2" ht="13.5">
      <c r="B162" s="174" t="s">
        <v>379</v>
      </c>
    </row>
    <row r="163" spans="2:2" ht="13.5">
      <c r="B163" s="174" t="s">
        <v>380</v>
      </c>
    </row>
    <row r="164" spans="2:2" ht="13.5">
      <c r="B164" s="174" t="s">
        <v>381</v>
      </c>
    </row>
    <row r="165" spans="2:2" ht="13.5">
      <c r="B165" s="174" t="s">
        <v>382</v>
      </c>
    </row>
    <row r="166" spans="2:2" ht="13.5">
      <c r="B166" s="174" t="s">
        <v>383</v>
      </c>
    </row>
    <row r="167" spans="2:2" ht="13.5">
      <c r="B167" s="174" t="s">
        <v>384</v>
      </c>
    </row>
    <row r="168" spans="2:2" ht="13.5">
      <c r="B168" s="174" t="s">
        <v>385</v>
      </c>
    </row>
    <row r="169" spans="2:2" ht="13.5">
      <c r="B169" s="174" t="s">
        <v>386</v>
      </c>
    </row>
    <row r="170" spans="2:2" ht="13.5">
      <c r="B170" s="174" t="s">
        <v>387</v>
      </c>
    </row>
    <row r="171" spans="2:2" ht="13.5">
      <c r="B171" s="174" t="s">
        <v>388</v>
      </c>
    </row>
    <row r="172" spans="2:2" ht="13.5">
      <c r="B172" s="175" t="s">
        <v>389</v>
      </c>
    </row>
    <row r="173" spans="2:2" ht="13.5">
      <c r="B173" s="175" t="s">
        <v>390</v>
      </c>
    </row>
    <row r="174" spans="2:2" ht="13.5">
      <c r="B174" s="174" t="s">
        <v>391</v>
      </c>
    </row>
    <row r="175" spans="2:2" ht="13.5">
      <c r="B175" s="174" t="s">
        <v>392</v>
      </c>
    </row>
    <row r="176" spans="2:2" ht="13.5">
      <c r="B176" s="174" t="s">
        <v>393</v>
      </c>
    </row>
    <row r="177" spans="2:5" ht="13.5">
      <c r="B177" s="174" t="s">
        <v>394</v>
      </c>
    </row>
    <row r="178" spans="2:5" ht="13.5">
      <c r="B178" s="174" t="s">
        <v>395</v>
      </c>
    </row>
    <row r="185" spans="2:5">
      <c r="B185" t="s">
        <v>396</v>
      </c>
    </row>
    <row r="186" spans="2:5">
      <c r="C186" t="s">
        <v>7</v>
      </c>
      <c r="D186" s="48">
        <v>1090162</v>
      </c>
      <c r="E186" s="176">
        <v>0.21025964750675866</v>
      </c>
    </row>
    <row r="187" spans="2:5">
      <c r="C187" t="s">
        <v>8</v>
      </c>
      <c r="D187" s="48">
        <v>2141327</v>
      </c>
      <c r="E187" s="176">
        <v>0.41299793995452511</v>
      </c>
    </row>
    <row r="188" spans="2:5">
      <c r="C188" t="s">
        <v>10</v>
      </c>
      <c r="D188" s="48">
        <v>863371</v>
      </c>
      <c r="E188" s="176">
        <v>0.16651844599936313</v>
      </c>
    </row>
    <row r="189" spans="2:5">
      <c r="C189" t="s">
        <v>11</v>
      </c>
      <c r="D189" s="48">
        <v>249558</v>
      </c>
      <c r="E189" s="176">
        <v>4.8132274939405036E-2</v>
      </c>
    </row>
    <row r="190" spans="2:5">
      <c r="C190" t="s">
        <v>12</v>
      </c>
      <c r="D190" s="48">
        <v>142289</v>
      </c>
      <c r="E190" s="176">
        <v>2.744329281711267E-2</v>
      </c>
    </row>
    <row r="191" spans="2:5">
      <c r="C191" t="s">
        <v>199</v>
      </c>
      <c r="D191" s="48">
        <v>274738</v>
      </c>
      <c r="E191" s="176">
        <v>5.2988743908439169E-2</v>
      </c>
    </row>
    <row r="192" spans="2:5">
      <c r="C192" t="s">
        <v>397</v>
      </c>
      <c r="D192" s="48">
        <v>61381</v>
      </c>
      <c r="E192" s="176">
        <v>1.1838559244967585E-2</v>
      </c>
    </row>
    <row r="193" spans="3:5">
      <c r="C193" t="s">
        <v>201</v>
      </c>
      <c r="D193" s="48">
        <v>28446</v>
      </c>
      <c r="E193" s="176">
        <v>5.4863826963123434E-3</v>
      </c>
    </row>
    <row r="194" spans="3:5">
      <c r="C194" t="s">
        <v>202</v>
      </c>
      <c r="D194" s="48">
        <v>12443</v>
      </c>
      <c r="E194" s="176">
        <v>2.3998825806867217E-3</v>
      </c>
    </row>
    <row r="195" spans="3:5">
      <c r="C195" t="s">
        <v>283</v>
      </c>
      <c r="D195" s="48">
        <v>61</v>
      </c>
      <c r="E195" s="176">
        <v>1.1765075739121597E-5</v>
      </c>
    </row>
    <row r="196" spans="3:5">
      <c r="C196" t="s">
        <v>203</v>
      </c>
      <c r="D196" s="48">
        <v>42754</v>
      </c>
      <c r="E196" s="176">
        <v>8.245968002465652E-3</v>
      </c>
    </row>
    <row r="197" spans="3:5">
      <c r="C197" t="s">
        <v>256</v>
      </c>
      <c r="D197" s="48">
        <v>10855</v>
      </c>
      <c r="E197" s="176">
        <v>2.0936048712813923E-3</v>
      </c>
    </row>
    <row r="198" spans="3:5">
      <c r="C198" t="s">
        <v>287</v>
      </c>
      <c r="D198" s="48">
        <v>777</v>
      </c>
      <c r="E198" s="176">
        <v>1.4986006310323738E-4</v>
      </c>
    </row>
    <row r="199" spans="3:5">
      <c r="C199" t="s">
        <v>398</v>
      </c>
      <c r="D199" s="48">
        <v>7886</v>
      </c>
      <c r="E199" s="176">
        <v>1.5209735619461132E-3</v>
      </c>
    </row>
    <row r="200" spans="3:5">
      <c r="C200" t="s">
        <v>399</v>
      </c>
      <c r="D200" s="48">
        <v>258789</v>
      </c>
      <c r="E200" s="176">
        <v>4.9912658777894081E-2</v>
      </c>
    </row>
    <row r="201" spans="3:5">
      <c r="D201" s="48">
        <v>5184837</v>
      </c>
      <c r="E201" s="176">
        <v>1</v>
      </c>
    </row>
  </sheetData>
  <mergeCells count="29">
    <mergeCell ref="AO9:AP9"/>
    <mergeCell ref="BS9:BT9"/>
    <mergeCell ref="AR9:AS9"/>
    <mergeCell ref="AT9:AU9"/>
    <mergeCell ref="AV9:AW9"/>
    <mergeCell ref="AX9:AY9"/>
    <mergeCell ref="AZ9:BB9"/>
    <mergeCell ref="BP9:BR9"/>
    <mergeCell ref="AA9:AB9"/>
    <mergeCell ref="AC9:AD9"/>
    <mergeCell ref="AE9:AF9"/>
    <mergeCell ref="AG9:AH9"/>
    <mergeCell ref="AL9:AM9"/>
    <mergeCell ref="C6:D6"/>
    <mergeCell ref="U8:AB8"/>
    <mergeCell ref="AR8:AY8"/>
    <mergeCell ref="A9:A10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conditionalFormatting sqref="C11">
    <cfRule type="cellIs" dxfId="122" priority="1" stopIfTrue="1" operator="equal">
      <formula>$BB138</formula>
    </cfRule>
    <cfRule type="cellIs" dxfId="121" priority="2" stopIfTrue="1" operator="equal">
      <formula>$BB138</formula>
    </cfRule>
    <cfRule type="cellIs" dxfId="120" priority="3" stopIfTrue="1" operator="equal">
      <formula>$BB138</formula>
    </cfRule>
  </conditionalFormatting>
  <conditionalFormatting sqref="D11">
    <cfRule type="cellIs" dxfId="119" priority="4" stopIfTrue="1" operator="equal">
      <formula>$BC138</formula>
    </cfRule>
  </conditionalFormatting>
  <conditionalFormatting sqref="E11">
    <cfRule type="cellIs" dxfId="118" priority="5" stopIfTrue="1" operator="equal">
      <formula>$BB138</formula>
    </cfRule>
  </conditionalFormatting>
  <conditionalFormatting sqref="F11">
    <cfRule type="cellIs" dxfId="117" priority="6" stopIfTrue="1" operator="equal">
      <formula>$BC138</formula>
    </cfRule>
  </conditionalFormatting>
  <conditionalFormatting sqref="I11 K11 G11 M11 O11 Q11 S11 U11 W11 Y11 AA11 AC11 AR11 AT11 AV11 AX11">
    <cfRule type="cellIs" dxfId="116" priority="7" stopIfTrue="1" operator="equal">
      <formula>$BB138</formula>
    </cfRule>
  </conditionalFormatting>
  <conditionalFormatting sqref="H11 AB11 J11 N11 L11 P11 R11 T11 V11 X11 Z11">
    <cfRule type="cellIs" dxfId="115" priority="8" stopIfTrue="1" operator="equal">
      <formula>$BC138</formula>
    </cfRule>
  </conditionalFormatting>
  <conditionalFormatting sqref="U68:U105 AV39:AV40 AV122:AV127 AV84:AV87 AR68:AR105 AX71:AX105 AV129:AV136 AR12:AR66 AX133:AX136 AX65:AX69 AV97:AV105 AX128 AV46:AV47 U12:U66 AA12:AA105 Y12:Y105 AX12:AX33 AX35:AX51 AX53:AX63 AX130:AX131 AV13:AV14 AV16:AV26 AV28:AV36 AV42 AV44 AV49:AV65 AV68:AV70 AV72 AV74:AV77 AV79:AV80 AV82 AV90 AV92:AV95 AV107 AV109:AV110 AV120 U107:U136 AA107:AA136 Y107:Y136 AR107:AR136 AX107:AX126 AV112:AV118 M53:N53 M75:N75 M78:N78 M90:N90 M108:N108 M110:N110 M117:N117 M119:N119">
    <cfRule type="cellIs" dxfId="114" priority="9" stopIfTrue="1" operator="equal">
      <formula>$BA12</formula>
    </cfRule>
  </conditionalFormatting>
  <conditionalFormatting sqref="AR67 U67 C12:C136">
    <cfRule type="cellIs" dxfId="113" priority="10" stopIfTrue="1" operator="equal">
      <formula>$BA12</formula>
    </cfRule>
  </conditionalFormatting>
  <conditionalFormatting sqref="AS67 V67 D12:D136">
    <cfRule type="cellIs" dxfId="112" priority="11" stopIfTrue="1" operator="equal">
      <formula>$BB12</formula>
    </cfRule>
  </conditionalFormatting>
  <conditionalFormatting sqref="W12:W136 Q12:Q136 E12:E136 AT12:AT136">
    <cfRule type="cellIs" dxfId="111" priority="12" stopIfTrue="1" operator="equal">
      <formula>$BA12</formula>
    </cfRule>
  </conditionalFormatting>
  <conditionalFormatting sqref="X12:X136 R12:R136 F12:F136 AU12:AU136">
    <cfRule type="cellIs" dxfId="110" priority="13" stopIfTrue="1" operator="equal">
      <formula>$BB12</formula>
    </cfRule>
  </conditionalFormatting>
  <conditionalFormatting sqref="AV128 AV12 AX34 AX52 AX64 AX70 AX127 G12:G136 AX132 AV15 AV27 AV37:AV38 AV41 AV43 AV45 AV48 AV66:AV67 AV71 AV73 AV78 AV81 AV83 AV88:AV89 AV91 AV96 AV108 AV111 AV119 AV121">
    <cfRule type="cellIs" dxfId="109" priority="14" stopIfTrue="1" operator="equal">
      <formula>$BA12</formula>
    </cfRule>
  </conditionalFormatting>
  <conditionalFormatting sqref="AW128 AW12 AY34 AY52 AY132 AY70 AY127 H12:H136 AY64 AW15 AW27 AW37:AW38 AW41 AW43 AW45 AW48 AW66:AW67 AW71 AW73 AW78 AW81 AW83 AW88:AW89 AW91 AW96 AW108 AW111 AW119 AW121">
    <cfRule type="cellIs" dxfId="108" priority="15" stopIfTrue="1" operator="equal">
      <formula>$BB12</formula>
    </cfRule>
  </conditionalFormatting>
  <conditionalFormatting sqref="I12:I136">
    <cfRule type="cellIs" dxfId="107" priority="16" stopIfTrue="1" operator="equal">
      <formula>$BA12</formula>
    </cfRule>
  </conditionalFormatting>
  <conditionalFormatting sqref="J12:J136">
    <cfRule type="cellIs" dxfId="106" priority="17" stopIfTrue="1" operator="equal">
      <formula>$BB12</formula>
    </cfRule>
  </conditionalFormatting>
  <conditionalFormatting sqref="K12:K136">
    <cfRule type="cellIs" dxfId="105" priority="18" stopIfTrue="1" operator="equal">
      <formula>$BA12</formula>
    </cfRule>
  </conditionalFormatting>
  <conditionalFormatting sqref="N12:N52 N54:N74 N76:N77 N79:N89 N91:N107 N109 N120:N136 N118 N111:N116">
    <cfRule type="cellIs" dxfId="104" priority="19" stopIfTrue="1" operator="equal">
      <formula>$BB12</formula>
    </cfRule>
  </conditionalFormatting>
  <conditionalFormatting sqref="M12:M52 M54:M74 M76:M77 M79:M89 M91:M107 M109 M120:M136 M118 M111:M116">
    <cfRule type="cellIs" dxfId="103" priority="20" stopIfTrue="1" operator="equal">
      <formula>$BA12</formula>
    </cfRule>
  </conditionalFormatting>
  <conditionalFormatting sqref="O12:O136">
    <cfRule type="cellIs" dxfId="102" priority="21" stopIfTrue="1" operator="equal">
      <formula>$BA12</formula>
    </cfRule>
  </conditionalFormatting>
  <conditionalFormatting sqref="P12:P136">
    <cfRule type="cellIs" dxfId="101" priority="22" stopIfTrue="1" operator="equal">
      <formula>$BB12</formula>
    </cfRule>
  </conditionalFormatting>
  <conditionalFormatting sqref="S12:S136">
    <cfRule type="cellIs" dxfId="100" priority="23" stopIfTrue="1" operator="equal">
      <formula>$BA12</formula>
    </cfRule>
  </conditionalFormatting>
  <conditionalFormatting sqref="BP125:BP136 AZ12:AZ16 BP12:BP15 BP18:BP21 BP23:BP25 AZ18:AZ29 BP27:BP36 BP38 BP40:BP41 AZ31:AZ49 BP43:BP58 BP60 BP62:BP67 BP69:BP73 BP75:BP78 BP80:BP83 BP86:BP94 BP96:BP98 BP100:BP101 BP103:BP111 BP113:BP121 BP123 AZ51:AZ135">
    <cfRule type="cellIs" dxfId="99" priority="24" stopIfTrue="1" operator="equal">
      <formula>"PRI-PVEM-NA-PSD-PFD"</formula>
    </cfRule>
    <cfRule type="cellIs" dxfId="98" priority="25" stopIfTrue="1" operator="equal">
      <formula>"PAN"</formula>
    </cfRule>
    <cfRule type="cellIs" dxfId="97" priority="26" stopIfTrue="1" operator="equal">
      <formula>"PRD"</formula>
    </cfRule>
  </conditionalFormatting>
  <conditionalFormatting sqref="L12:L136">
    <cfRule type="cellIs" dxfId="96" priority="27" stopIfTrue="1" operator="equal">
      <formula>$BB$12</formula>
    </cfRule>
  </conditionalFormatting>
  <conditionalFormatting sqref="T12:T136">
    <cfRule type="cellIs" dxfId="95" priority="28" stopIfTrue="1" operator="equal">
      <formula>$BB$12</formula>
    </cfRule>
  </conditionalFormatting>
  <conditionalFormatting sqref="G139:G146">
    <cfRule type="cellIs" dxfId="94" priority="29" stopIfTrue="1" operator="equal">
      <formula>0</formula>
    </cfRule>
  </conditionalFormatting>
  <conditionalFormatting sqref="AI12:AI136">
    <cfRule type="cellIs" dxfId="93" priority="30" stopIfTrue="1" operator="notEqual">
      <formula>#REF!</formula>
    </cfRule>
  </conditionalFormatting>
  <conditionalFormatting sqref="AZ17 BP16:BP17 BP22 BP26 AZ30 BP37 BP39 BP42 AZ50 BP59 BP61 BP68 BP74 BP79 BP84:BP85 BP95 BP99 BP102 BP112 BP122 BP124 AZ136">
    <cfRule type="cellIs" dxfId="92" priority="31" stopIfTrue="1" operator="equal">
      <formula>"PT"</formula>
    </cfRule>
    <cfRule type="cellIs" dxfId="91" priority="32" stopIfTrue="1" operator="equal">
      <formula>"C"</formula>
    </cfRule>
  </conditionalFormatting>
  <conditionalFormatting sqref="AL12:AL136 AO12:AO136">
    <cfRule type="cellIs" dxfId="90" priority="33" stopIfTrue="1" operator="equal">
      <formula>0</formula>
    </cfRule>
  </conditionalFormatting>
  <conditionalFormatting sqref="AM12:AM136 AP12:AP136">
    <cfRule type="cellIs" dxfId="89" priority="34" stopIfTrue="1" operator="equal">
      <formula>0</formula>
    </cfRule>
  </conditionalFormatting>
  <conditionalFormatting sqref="AX129">
    <cfRule type="cellIs" dxfId="88" priority="35" stopIfTrue="1" operator="equal">
      <formula>$BA129</formula>
    </cfRule>
  </conditionalFormatting>
  <conditionalFormatting sqref="AY129">
    <cfRule type="cellIs" dxfId="87" priority="36" stopIfTrue="1" operator="equal">
      <formula>$BB129</formula>
    </cfRule>
  </conditionalFormatting>
  <pageMargins left="0.43307086614173229" right="0.15748031496062992" top="0.53" bottom="0.56999999999999995" header="0.31" footer="0.28999999999999998"/>
  <pageSetup scale="68" firstPageNumber="9" fitToHeight="0" pageOrder="overThenDown" orientation="landscape" r:id="rId1"/>
  <headerFooter alignWithMargins="0">
    <oddFooter>Página &amp;P de &amp;N</oddFooter>
  </headerFooter>
  <colBreaks count="2" manualBreakCount="2">
    <brk id="20" max="169" man="1"/>
    <brk id="43" max="18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71"/>
  <sheetViews>
    <sheetView workbookViewId="0">
      <selection sqref="A1:IV65536"/>
    </sheetView>
  </sheetViews>
  <sheetFormatPr baseColWidth="10" defaultRowHeight="12.75"/>
  <cols>
    <col min="1" max="1" width="30.42578125" style="177" bestFit="1" customWidth="1"/>
    <col min="2" max="2" width="8.5703125" style="177" customWidth="1"/>
    <col min="3" max="20" width="8.7109375" style="177" customWidth="1"/>
    <col min="21" max="21" width="6.140625" style="177" customWidth="1"/>
    <col min="22" max="22" width="8.28515625" style="177" customWidth="1"/>
    <col min="23" max="26" width="8.7109375" style="177" customWidth="1"/>
    <col min="27" max="27" width="12.42578125" style="177" customWidth="1"/>
    <col min="28" max="28" width="1.7109375" style="177" customWidth="1"/>
    <col min="29" max="30" width="10.85546875" style="177" customWidth="1"/>
    <col min="31" max="31" width="1.7109375" style="177" customWidth="1"/>
    <col min="32" max="33" width="10.85546875" style="177" hidden="1" customWidth="1"/>
    <col min="34" max="34" width="1.7109375" style="177" hidden="1" customWidth="1"/>
    <col min="35" max="36" width="10.85546875" style="177" customWidth="1"/>
    <col min="37" max="37" width="1.7109375" style="177" customWidth="1"/>
    <col min="38" max="38" width="13.140625" style="177" customWidth="1"/>
    <col min="39" max="39" width="8.5703125" style="177" customWidth="1"/>
    <col min="40" max="40" width="8.7109375" style="177" customWidth="1"/>
    <col min="41" max="41" width="5.42578125" style="177" hidden="1" customWidth="1"/>
    <col min="42" max="42" width="6.42578125" style="177" hidden="1" customWidth="1"/>
    <col min="43" max="51" width="5.42578125" style="177" hidden="1" customWidth="1"/>
    <col min="52" max="52" width="16.5703125" style="177" customWidth="1"/>
    <col min="53" max="53" width="8" style="177" customWidth="1"/>
    <col min="54" max="54" width="8.7109375" style="177" customWidth="1"/>
    <col min="55" max="55" width="7" style="177" customWidth="1"/>
    <col min="56" max="56" width="8.7109375" style="177" customWidth="1"/>
    <col min="57" max="16384" width="11.42578125" style="177"/>
  </cols>
  <sheetData>
    <row r="1" spans="1:56">
      <c r="B1" s="177" t="s">
        <v>186</v>
      </c>
    </row>
    <row r="2" spans="1:56">
      <c r="B2" s="177" t="s">
        <v>187</v>
      </c>
      <c r="H2" s="178"/>
      <c r="I2" s="178"/>
      <c r="J2" s="179"/>
      <c r="K2" s="179"/>
      <c r="L2" s="178"/>
      <c r="M2" s="179"/>
      <c r="N2" s="179"/>
      <c r="O2" s="179"/>
      <c r="P2" s="179"/>
      <c r="Q2" s="178"/>
      <c r="R2" s="178"/>
    </row>
    <row r="3" spans="1:56">
      <c r="B3" s="180" t="s">
        <v>400</v>
      </c>
    </row>
    <row r="4" spans="1:56">
      <c r="B4" s="180" t="s">
        <v>401</v>
      </c>
    </row>
    <row r="5" spans="1:56" ht="13.5">
      <c r="C5" s="181" t="s">
        <v>190</v>
      </c>
    </row>
    <row r="6" spans="1:56" ht="13.5">
      <c r="D6" s="182"/>
      <c r="H6" s="177" t="s">
        <v>141</v>
      </c>
      <c r="I6" s="181" t="s">
        <v>402</v>
      </c>
    </row>
    <row r="7" spans="1:56" ht="15" customHeight="1">
      <c r="A7" s="183" t="s">
        <v>403</v>
      </c>
      <c r="B7" s="184"/>
      <c r="D7" s="185"/>
      <c r="E7" s="185"/>
      <c r="F7" s="186"/>
      <c r="G7" s="182"/>
      <c r="I7" s="181" t="s">
        <v>404</v>
      </c>
    </row>
    <row r="8" spans="1:56" ht="30.75" customHeight="1">
      <c r="C8" s="187"/>
      <c r="D8" s="187"/>
      <c r="E8" s="564" t="s">
        <v>405</v>
      </c>
      <c r="F8" s="565"/>
      <c r="H8" s="181"/>
      <c r="M8" s="566" t="s">
        <v>406</v>
      </c>
      <c r="N8" s="567"/>
      <c r="O8" s="568" t="s">
        <v>407</v>
      </c>
      <c r="P8" s="569"/>
      <c r="Q8" s="570" t="s">
        <v>408</v>
      </c>
      <c r="R8" s="571"/>
      <c r="S8" s="572" t="s">
        <v>409</v>
      </c>
      <c r="T8" s="573"/>
    </row>
    <row r="9" spans="1:56" ht="30" customHeight="1">
      <c r="A9" s="574" t="s">
        <v>197</v>
      </c>
      <c r="B9" s="188" t="s">
        <v>198</v>
      </c>
      <c r="C9" s="577" t="s">
        <v>7</v>
      </c>
      <c r="D9" s="578"/>
      <c r="E9" s="579" t="s">
        <v>410</v>
      </c>
      <c r="F9" s="580"/>
      <c r="G9" s="570" t="s">
        <v>10</v>
      </c>
      <c r="H9" s="571"/>
      <c r="I9" s="572" t="s">
        <v>11</v>
      </c>
      <c r="J9" s="573"/>
      <c r="K9" s="584" t="s">
        <v>411</v>
      </c>
      <c r="L9" s="585"/>
      <c r="M9" s="570" t="s">
        <v>412</v>
      </c>
      <c r="N9" s="571"/>
      <c r="O9" s="570" t="s">
        <v>413</v>
      </c>
      <c r="P9" s="571"/>
      <c r="Q9" s="570" t="s">
        <v>414</v>
      </c>
      <c r="R9" s="571"/>
      <c r="S9" s="586" t="s">
        <v>415</v>
      </c>
      <c r="T9" s="587"/>
      <c r="U9" s="588" t="s">
        <v>416</v>
      </c>
      <c r="V9" s="589"/>
      <c r="W9" s="604" t="s">
        <v>205</v>
      </c>
      <c r="X9" s="605"/>
      <c r="Y9" s="608" t="s">
        <v>417</v>
      </c>
      <c r="Z9" s="609"/>
      <c r="AA9" s="536" t="s">
        <v>418</v>
      </c>
      <c r="AC9" s="604" t="s">
        <v>209</v>
      </c>
      <c r="AD9" s="605"/>
      <c r="AF9" s="608" t="s">
        <v>210</v>
      </c>
      <c r="AG9" s="609"/>
      <c r="AI9" s="581" t="s">
        <v>418</v>
      </c>
      <c r="AJ9" s="581" t="s">
        <v>419</v>
      </c>
      <c r="AL9" s="592" t="s">
        <v>420</v>
      </c>
      <c r="AM9" s="593"/>
      <c r="AN9" s="594"/>
      <c r="AO9" s="598" t="s">
        <v>421</v>
      </c>
      <c r="AP9" s="599"/>
      <c r="AQ9" s="599"/>
      <c r="AR9" s="599"/>
      <c r="AS9" s="599"/>
      <c r="AT9" s="599"/>
      <c r="AU9" s="599"/>
      <c r="AV9" s="599"/>
      <c r="AW9" s="599"/>
      <c r="AX9" s="599"/>
      <c r="AY9" s="600"/>
      <c r="AZ9" s="592" t="s">
        <v>213</v>
      </c>
      <c r="BA9" s="593"/>
      <c r="BB9" s="594"/>
      <c r="BC9" s="604" t="s">
        <v>214</v>
      </c>
      <c r="BD9" s="605"/>
    </row>
    <row r="10" spans="1:56" ht="51.75" customHeight="1">
      <c r="A10" s="575"/>
      <c r="B10" s="189"/>
      <c r="C10" s="190"/>
      <c r="D10" s="191"/>
      <c r="E10" s="190"/>
      <c r="F10" s="192"/>
      <c r="G10" s="193"/>
      <c r="H10" s="194"/>
      <c r="I10" s="195"/>
      <c r="J10" s="196"/>
      <c r="K10" s="197"/>
      <c r="L10" s="198"/>
      <c r="M10" s="193"/>
      <c r="N10" s="194"/>
      <c r="O10" s="193"/>
      <c r="P10" s="194"/>
      <c r="Q10" s="193"/>
      <c r="R10" s="194"/>
      <c r="S10" s="193"/>
      <c r="T10" s="194"/>
      <c r="U10" s="590"/>
      <c r="V10" s="591"/>
      <c r="W10" s="606"/>
      <c r="X10" s="607"/>
      <c r="Y10" s="610"/>
      <c r="Z10" s="611"/>
      <c r="AA10" s="612"/>
      <c r="AC10" s="606"/>
      <c r="AD10" s="607"/>
      <c r="AF10" s="610"/>
      <c r="AG10" s="611"/>
      <c r="AI10" s="582"/>
      <c r="AJ10" s="582"/>
      <c r="AL10" s="595"/>
      <c r="AM10" s="596"/>
      <c r="AN10" s="597"/>
      <c r="AO10" s="601"/>
      <c r="AP10" s="602"/>
      <c r="AQ10" s="602"/>
      <c r="AR10" s="602"/>
      <c r="AS10" s="602"/>
      <c r="AT10" s="602"/>
      <c r="AU10" s="602"/>
      <c r="AV10" s="602"/>
      <c r="AW10" s="602"/>
      <c r="AX10" s="602"/>
      <c r="AY10" s="603"/>
      <c r="AZ10" s="595"/>
      <c r="BA10" s="596"/>
      <c r="BB10" s="597"/>
      <c r="BC10" s="606"/>
      <c r="BD10" s="607"/>
    </row>
    <row r="11" spans="1:56" ht="38.25" customHeight="1">
      <c r="A11" s="576"/>
      <c r="B11" s="199" t="s">
        <v>215</v>
      </c>
      <c r="C11" s="200" t="s">
        <v>216</v>
      </c>
      <c r="D11" s="200" t="s">
        <v>217</v>
      </c>
      <c r="E11" s="200" t="s">
        <v>216</v>
      </c>
      <c r="F11" s="200" t="s">
        <v>217</v>
      </c>
      <c r="G11" s="200" t="s">
        <v>216</v>
      </c>
      <c r="H11" s="200" t="s">
        <v>217</v>
      </c>
      <c r="I11" s="200" t="s">
        <v>216</v>
      </c>
      <c r="J11" s="200" t="s">
        <v>217</v>
      </c>
      <c r="K11" s="200" t="s">
        <v>216</v>
      </c>
      <c r="L11" s="200" t="s">
        <v>217</v>
      </c>
      <c r="M11" s="200" t="s">
        <v>216</v>
      </c>
      <c r="N11" s="200" t="s">
        <v>217</v>
      </c>
      <c r="O11" s="200" t="s">
        <v>216</v>
      </c>
      <c r="P11" s="200" t="s">
        <v>217</v>
      </c>
      <c r="Q11" s="200" t="s">
        <v>216</v>
      </c>
      <c r="R11" s="200" t="s">
        <v>217</v>
      </c>
      <c r="S11" s="200" t="s">
        <v>216</v>
      </c>
      <c r="T11" s="200" t="s">
        <v>217</v>
      </c>
      <c r="U11" s="200" t="s">
        <v>216</v>
      </c>
      <c r="V11" s="200" t="s">
        <v>217</v>
      </c>
      <c r="W11" s="200" t="s">
        <v>216</v>
      </c>
      <c r="X11" s="200" t="s">
        <v>217</v>
      </c>
      <c r="Y11" s="200" t="s">
        <v>216</v>
      </c>
      <c r="Z11" s="200" t="s">
        <v>217</v>
      </c>
      <c r="AA11" s="201" t="s">
        <v>422</v>
      </c>
      <c r="AC11" s="200" t="s">
        <v>216</v>
      </c>
      <c r="AD11" s="202" t="s">
        <v>217</v>
      </c>
      <c r="AF11" s="200" t="s">
        <v>216</v>
      </c>
      <c r="AG11" s="202" t="s">
        <v>217</v>
      </c>
      <c r="AI11" s="583"/>
      <c r="AJ11" s="583"/>
      <c r="AL11" s="202" t="s">
        <v>221</v>
      </c>
      <c r="AM11" s="203" t="s">
        <v>207</v>
      </c>
      <c r="AN11" s="203" t="s">
        <v>217</v>
      </c>
      <c r="AO11" s="204" t="s">
        <v>7</v>
      </c>
      <c r="AP11" s="204" t="s">
        <v>410</v>
      </c>
      <c r="AQ11" s="204" t="s">
        <v>10</v>
      </c>
      <c r="AR11" s="204" t="s">
        <v>11</v>
      </c>
      <c r="AS11" s="204" t="s">
        <v>423</v>
      </c>
      <c r="AT11" s="204" t="s">
        <v>412</v>
      </c>
      <c r="AU11" s="204" t="s">
        <v>256</v>
      </c>
      <c r="AV11" s="204" t="s">
        <v>424</v>
      </c>
      <c r="AW11" s="204" t="s">
        <v>425</v>
      </c>
      <c r="AX11" s="204" t="s">
        <v>426</v>
      </c>
      <c r="AY11" s="204" t="s">
        <v>417</v>
      </c>
      <c r="AZ11" s="202" t="s">
        <v>221</v>
      </c>
      <c r="BA11" s="202" t="s">
        <v>207</v>
      </c>
      <c r="BB11" s="202" t="s">
        <v>217</v>
      </c>
      <c r="BC11" s="202" t="s">
        <v>223</v>
      </c>
      <c r="BD11" s="202" t="s">
        <v>224</v>
      </c>
    </row>
    <row r="12" spans="1:56" ht="17.100000000000001" customHeight="1">
      <c r="A12" s="205" t="s">
        <v>225</v>
      </c>
      <c r="B12" s="206">
        <v>10396537</v>
      </c>
      <c r="C12" s="207">
        <v>1462936</v>
      </c>
      <c r="D12" s="208">
        <v>0.2174901872400373</v>
      </c>
      <c r="E12" s="207">
        <v>2800483</v>
      </c>
      <c r="F12" s="208">
        <v>0.41633917822279404</v>
      </c>
      <c r="G12" s="207">
        <v>961642</v>
      </c>
      <c r="H12" s="208">
        <v>0.14296435294359011</v>
      </c>
      <c r="I12" s="207">
        <v>197817</v>
      </c>
      <c r="J12" s="208">
        <v>2.9408843838187357E-2</v>
      </c>
      <c r="K12" s="207">
        <v>221164</v>
      </c>
      <c r="L12" s="208">
        <v>3.2879770386917549E-2</v>
      </c>
      <c r="M12" s="207">
        <v>328348</v>
      </c>
      <c r="N12" s="208">
        <v>4.8814485390947911E-2</v>
      </c>
      <c r="O12" s="207">
        <v>156821</v>
      </c>
      <c r="P12" s="208">
        <v>2.3314094842952725E-2</v>
      </c>
      <c r="Q12" s="207">
        <v>133398</v>
      </c>
      <c r="R12" s="208">
        <v>1.9831869608408364E-2</v>
      </c>
      <c r="S12" s="207">
        <v>80755</v>
      </c>
      <c r="T12" s="208">
        <v>1.2005597012151736E-2</v>
      </c>
      <c r="U12" s="207">
        <v>7772</v>
      </c>
      <c r="V12" s="208">
        <v>1.1554392914177858E-3</v>
      </c>
      <c r="W12" s="207">
        <v>6351136</v>
      </c>
      <c r="X12" s="208">
        <v>0.94420381877740489</v>
      </c>
      <c r="Y12" s="207">
        <v>338125</v>
      </c>
      <c r="Z12" s="209">
        <v>5.0268001854173808E-2</v>
      </c>
      <c r="AA12" s="207">
        <v>6689261</v>
      </c>
      <c r="AB12" s="210"/>
      <c r="AC12" s="206">
        <v>37185</v>
      </c>
      <c r="AD12" s="211">
        <v>5.5281793684213033E-3</v>
      </c>
      <c r="AE12" s="210"/>
      <c r="AF12" s="206">
        <v>0</v>
      </c>
      <c r="AG12" s="211">
        <v>0</v>
      </c>
      <c r="AH12" s="210"/>
      <c r="AI12" s="207">
        <v>6726446</v>
      </c>
      <c r="AJ12" s="211">
        <v>0.64698908877061656</v>
      </c>
      <c r="AK12" s="210"/>
      <c r="AL12" s="212"/>
      <c r="AM12" s="213"/>
      <c r="AN12" s="214"/>
      <c r="BC12" s="215"/>
      <c r="BD12" s="216"/>
    </row>
    <row r="13" spans="1:56" ht="17.100000000000001" customHeight="1">
      <c r="A13" s="217" t="s">
        <v>226</v>
      </c>
      <c r="B13" s="218">
        <v>41299</v>
      </c>
      <c r="C13" s="219">
        <v>8509</v>
      </c>
      <c r="D13" s="220">
        <v>0.30706217747464903</v>
      </c>
      <c r="E13" s="221">
        <v>16318</v>
      </c>
      <c r="F13" s="220">
        <v>0.58886362816210169</v>
      </c>
      <c r="G13" s="222"/>
      <c r="H13" s="223"/>
      <c r="I13" s="224"/>
      <c r="J13" s="225"/>
      <c r="K13" s="224"/>
      <c r="L13" s="225"/>
      <c r="M13" s="219">
        <v>1873</v>
      </c>
      <c r="N13" s="220">
        <v>6.7590487532026997E-2</v>
      </c>
      <c r="O13" s="224"/>
      <c r="P13" s="225"/>
      <c r="Q13" s="224"/>
      <c r="R13" s="225"/>
      <c r="S13" s="224"/>
      <c r="T13" s="225"/>
      <c r="U13" s="219">
        <v>38</v>
      </c>
      <c r="V13" s="220">
        <v>1.3712965970192343E-3</v>
      </c>
      <c r="W13" s="226">
        <v>26738</v>
      </c>
      <c r="X13" s="220">
        <v>0.96488758976579703</v>
      </c>
      <c r="Y13" s="219">
        <v>973</v>
      </c>
      <c r="Z13" s="227">
        <v>3.5112410234203022E-2</v>
      </c>
      <c r="AA13" s="228">
        <v>27711</v>
      </c>
      <c r="AC13" s="229"/>
      <c r="AD13" s="230">
        <v>0</v>
      </c>
      <c r="AF13" s="229"/>
      <c r="AG13" s="230">
        <v>0</v>
      </c>
      <c r="AI13" s="231">
        <v>27711</v>
      </c>
      <c r="AJ13" s="230">
        <v>0.67098476960701225</v>
      </c>
      <c r="AL13" s="232" t="s">
        <v>410</v>
      </c>
      <c r="AM13" s="226">
        <v>16318</v>
      </c>
      <c r="AN13" s="233">
        <v>0.58886362816210169</v>
      </c>
      <c r="AO13" s="234">
        <v>2</v>
      </c>
      <c r="AP13" s="234">
        <v>1</v>
      </c>
      <c r="AQ13" s="235"/>
      <c r="AR13" s="235"/>
      <c r="AS13" s="235"/>
      <c r="AT13" s="234">
        <v>3</v>
      </c>
      <c r="AU13" s="235"/>
      <c r="AV13" s="235"/>
      <c r="AW13" s="235"/>
      <c r="AX13" s="234">
        <v>5</v>
      </c>
      <c r="AY13" s="234">
        <v>4</v>
      </c>
      <c r="AZ13" s="236" t="s">
        <v>7</v>
      </c>
      <c r="BA13" s="226">
        <v>8509</v>
      </c>
      <c r="BB13" s="237">
        <v>0.30706217747464903</v>
      </c>
      <c r="BC13" s="226">
        <v>7809</v>
      </c>
      <c r="BD13" s="238">
        <v>0.28180145068745266</v>
      </c>
    </row>
    <row r="14" spans="1:56" ht="17.100000000000001" customHeight="1">
      <c r="A14" s="239" t="s">
        <v>227</v>
      </c>
      <c r="B14" s="240">
        <v>63415</v>
      </c>
      <c r="C14" s="241">
        <v>3125</v>
      </c>
      <c r="D14" s="242">
        <v>7.1636522018201407E-2</v>
      </c>
      <c r="E14" s="243">
        <v>21322</v>
      </c>
      <c r="F14" s="242">
        <v>0.48877885519106895</v>
      </c>
      <c r="G14" s="222"/>
      <c r="H14" s="223"/>
      <c r="I14" s="222"/>
      <c r="J14" s="223"/>
      <c r="K14" s="241">
        <v>1563</v>
      </c>
      <c r="L14" s="242">
        <v>3.5829722852623619E-2</v>
      </c>
      <c r="M14" s="222"/>
      <c r="N14" s="223"/>
      <c r="O14" s="241">
        <v>15416</v>
      </c>
      <c r="P14" s="242">
        <v>0.35339155949842971</v>
      </c>
      <c r="Q14" s="222"/>
      <c r="R14" s="223"/>
      <c r="S14" s="222"/>
      <c r="T14" s="223"/>
      <c r="U14" s="241">
        <v>26</v>
      </c>
      <c r="V14" s="242">
        <v>5.9601586319143573E-4</v>
      </c>
      <c r="W14" s="244">
        <v>41452</v>
      </c>
      <c r="X14" s="242">
        <v>0.95023267542351508</v>
      </c>
      <c r="Y14" s="241">
        <v>2171</v>
      </c>
      <c r="Z14" s="245">
        <v>4.9767324576484882E-2</v>
      </c>
      <c r="AA14" s="246">
        <v>43623</v>
      </c>
      <c r="AC14" s="247"/>
      <c r="AD14" s="248">
        <v>0</v>
      </c>
      <c r="AF14" s="247"/>
      <c r="AG14" s="248">
        <v>0</v>
      </c>
      <c r="AI14" s="240">
        <v>43623</v>
      </c>
      <c r="AJ14" s="248">
        <v>0.68789718520854692</v>
      </c>
      <c r="AL14" s="249" t="s">
        <v>410</v>
      </c>
      <c r="AM14" s="244">
        <v>21322</v>
      </c>
      <c r="AN14" s="250">
        <v>0.48877885519106895</v>
      </c>
      <c r="AO14" s="251">
        <v>3</v>
      </c>
      <c r="AP14" s="251">
        <v>1</v>
      </c>
      <c r="AQ14" s="252"/>
      <c r="AR14" s="252"/>
      <c r="AS14" s="251">
        <v>5</v>
      </c>
      <c r="AT14" s="252"/>
      <c r="AU14" s="251">
        <v>2</v>
      </c>
      <c r="AV14" s="252"/>
      <c r="AW14" s="252"/>
      <c r="AX14" s="253">
        <v>6</v>
      </c>
      <c r="AY14" s="253">
        <v>4</v>
      </c>
      <c r="AZ14" s="254" t="s">
        <v>256</v>
      </c>
      <c r="BA14" s="244">
        <v>15416</v>
      </c>
      <c r="BB14" s="242">
        <v>0.35339155949842971</v>
      </c>
      <c r="BC14" s="244">
        <v>5906</v>
      </c>
      <c r="BD14" s="255">
        <v>0.13538729569263924</v>
      </c>
    </row>
    <row r="15" spans="1:56" ht="17.100000000000001" customHeight="1">
      <c r="A15" s="239" t="s">
        <v>427</v>
      </c>
      <c r="B15" s="240">
        <v>28503</v>
      </c>
      <c r="C15" s="241">
        <v>3757</v>
      </c>
      <c r="D15" s="242">
        <v>0.18258249501871021</v>
      </c>
      <c r="E15" s="243">
        <v>12793</v>
      </c>
      <c r="F15" s="242">
        <v>0.62171356368761244</v>
      </c>
      <c r="G15" s="222"/>
      <c r="H15" s="223"/>
      <c r="I15" s="222"/>
      <c r="J15" s="223"/>
      <c r="K15" s="222"/>
      <c r="L15" s="223"/>
      <c r="M15" s="222"/>
      <c r="N15" s="223"/>
      <c r="O15" s="241">
        <v>3355</v>
      </c>
      <c r="P15" s="242">
        <v>0.16304611945375905</v>
      </c>
      <c r="Q15" s="222"/>
      <c r="R15" s="223"/>
      <c r="S15" s="222"/>
      <c r="T15" s="223"/>
      <c r="U15" s="241">
        <v>37</v>
      </c>
      <c r="V15" s="242">
        <v>1.7981241191621714E-3</v>
      </c>
      <c r="W15" s="244">
        <v>19942</v>
      </c>
      <c r="X15" s="242">
        <v>0.96914030227924386</v>
      </c>
      <c r="Y15" s="241">
        <v>635</v>
      </c>
      <c r="Z15" s="245">
        <v>3.0859697720756186E-2</v>
      </c>
      <c r="AA15" s="246">
        <v>20577</v>
      </c>
      <c r="AC15" s="247"/>
      <c r="AD15" s="248">
        <v>0</v>
      </c>
      <c r="AF15" s="247"/>
      <c r="AG15" s="248">
        <v>0</v>
      </c>
      <c r="AI15" s="240">
        <v>20577</v>
      </c>
      <c r="AJ15" s="248">
        <v>0.72192400799915801</v>
      </c>
      <c r="AL15" s="249" t="s">
        <v>410</v>
      </c>
      <c r="AM15" s="244">
        <v>12793</v>
      </c>
      <c r="AN15" s="250">
        <v>0.62171356368761244</v>
      </c>
      <c r="AO15" s="251">
        <v>2</v>
      </c>
      <c r="AP15" s="251">
        <v>1</v>
      </c>
      <c r="AQ15" s="252"/>
      <c r="AR15" s="252"/>
      <c r="AS15" s="252"/>
      <c r="AT15" s="252"/>
      <c r="AU15" s="251">
        <v>3</v>
      </c>
      <c r="AV15" s="252"/>
      <c r="AW15" s="252"/>
      <c r="AX15" s="253">
        <v>5</v>
      </c>
      <c r="AY15" s="253">
        <v>4</v>
      </c>
      <c r="AZ15" s="254" t="s">
        <v>7</v>
      </c>
      <c r="BA15" s="244">
        <v>3757</v>
      </c>
      <c r="BB15" s="242">
        <v>0.18258249501871021</v>
      </c>
      <c r="BC15" s="244">
        <v>9036</v>
      </c>
      <c r="BD15" s="255">
        <v>0.43913106866890222</v>
      </c>
    </row>
    <row r="16" spans="1:56" ht="17.100000000000001" customHeight="1">
      <c r="A16" s="239" t="s">
        <v>229</v>
      </c>
      <c r="B16" s="240">
        <v>10667</v>
      </c>
      <c r="C16" s="241">
        <v>3698</v>
      </c>
      <c r="D16" s="242">
        <v>0.4568816407215221</v>
      </c>
      <c r="E16" s="243">
        <v>3952</v>
      </c>
      <c r="F16" s="242">
        <v>0.48826291079812206</v>
      </c>
      <c r="G16" s="241">
        <v>129</v>
      </c>
      <c r="H16" s="242">
        <v>1.5937731653076354E-2</v>
      </c>
      <c r="I16" s="241">
        <v>58</v>
      </c>
      <c r="J16" s="242">
        <v>7.1658018285149496E-3</v>
      </c>
      <c r="K16" s="241">
        <v>8</v>
      </c>
      <c r="L16" s="242">
        <v>9.8838645910551029E-4</v>
      </c>
      <c r="M16" s="222"/>
      <c r="N16" s="223"/>
      <c r="O16" s="222"/>
      <c r="P16" s="223"/>
      <c r="Q16" s="222"/>
      <c r="R16" s="223"/>
      <c r="S16" s="222"/>
      <c r="T16" s="223"/>
      <c r="U16" s="241">
        <v>3</v>
      </c>
      <c r="V16" s="242">
        <v>3.7064492216456633E-4</v>
      </c>
      <c r="W16" s="244">
        <v>7848</v>
      </c>
      <c r="X16" s="242">
        <v>0.96960711638250552</v>
      </c>
      <c r="Y16" s="241">
        <v>246</v>
      </c>
      <c r="Z16" s="245">
        <v>3.039288361749444E-2</v>
      </c>
      <c r="AA16" s="246">
        <v>8094</v>
      </c>
      <c r="AC16" s="247"/>
      <c r="AD16" s="248">
        <v>0</v>
      </c>
      <c r="AF16" s="247"/>
      <c r="AG16" s="248">
        <v>0</v>
      </c>
      <c r="AI16" s="240">
        <v>8094</v>
      </c>
      <c r="AJ16" s="248">
        <v>0.75878878785037962</v>
      </c>
      <c r="AL16" s="249" t="s">
        <v>410</v>
      </c>
      <c r="AM16" s="244">
        <v>3952</v>
      </c>
      <c r="AN16" s="250">
        <v>0.48826291079812206</v>
      </c>
      <c r="AO16" s="251">
        <v>2</v>
      </c>
      <c r="AP16" s="251">
        <v>1</v>
      </c>
      <c r="AQ16" s="251">
        <v>4</v>
      </c>
      <c r="AR16" s="251">
        <v>5</v>
      </c>
      <c r="AS16" s="251">
        <v>6</v>
      </c>
      <c r="AT16" s="252"/>
      <c r="AU16" s="252"/>
      <c r="AV16" s="252"/>
      <c r="AW16" s="252"/>
      <c r="AX16" s="253">
        <v>7</v>
      </c>
      <c r="AY16" s="253">
        <v>3</v>
      </c>
      <c r="AZ16" s="254" t="s">
        <v>7</v>
      </c>
      <c r="BA16" s="244">
        <v>3698</v>
      </c>
      <c r="BB16" s="256">
        <v>0.4568816407215221</v>
      </c>
      <c r="BC16" s="244">
        <v>254</v>
      </c>
      <c r="BD16" s="255">
        <v>3.1381270076599965E-2</v>
      </c>
    </row>
    <row r="17" spans="1:56" ht="17.100000000000001" customHeight="1">
      <c r="A17" s="257" t="s">
        <v>230</v>
      </c>
      <c r="B17" s="240">
        <v>92940</v>
      </c>
      <c r="C17" s="241">
        <v>7602</v>
      </c>
      <c r="D17" s="242">
        <v>0.11914613503855558</v>
      </c>
      <c r="E17" s="243">
        <v>34924</v>
      </c>
      <c r="F17" s="242">
        <v>0.54736380164253029</v>
      </c>
      <c r="G17" s="222"/>
      <c r="H17" s="223"/>
      <c r="I17" s="222"/>
      <c r="J17" s="223"/>
      <c r="K17" s="222"/>
      <c r="L17" s="223"/>
      <c r="M17" s="241">
        <v>18913</v>
      </c>
      <c r="N17" s="242">
        <v>0.29642342172904518</v>
      </c>
      <c r="O17" s="222"/>
      <c r="P17" s="223"/>
      <c r="Q17" s="222"/>
      <c r="R17" s="223"/>
      <c r="S17" s="222"/>
      <c r="T17" s="223"/>
      <c r="U17" s="241">
        <v>158</v>
      </c>
      <c r="V17" s="242">
        <v>2.4763337721772929E-3</v>
      </c>
      <c r="W17" s="244">
        <v>61597</v>
      </c>
      <c r="X17" s="242">
        <v>0.96540969218230832</v>
      </c>
      <c r="Y17" s="241">
        <v>2207</v>
      </c>
      <c r="Z17" s="245">
        <v>3.4590307817691679E-2</v>
      </c>
      <c r="AA17" s="246">
        <v>63804</v>
      </c>
      <c r="AC17" s="247"/>
      <c r="AD17" s="248">
        <v>0</v>
      </c>
      <c r="AF17" s="247"/>
      <c r="AG17" s="248">
        <v>0</v>
      </c>
      <c r="AI17" s="240">
        <v>63804</v>
      </c>
      <c r="AJ17" s="248">
        <v>0.68650742414460941</v>
      </c>
      <c r="AL17" s="249" t="s">
        <v>410</v>
      </c>
      <c r="AM17" s="244">
        <v>34924</v>
      </c>
      <c r="AN17" s="250">
        <v>0.54736380164253029</v>
      </c>
      <c r="AO17" s="251">
        <v>3</v>
      </c>
      <c r="AP17" s="251">
        <v>1</v>
      </c>
      <c r="AQ17" s="252"/>
      <c r="AR17" s="252"/>
      <c r="AS17" s="252"/>
      <c r="AT17" s="251">
        <v>2</v>
      </c>
      <c r="AU17" s="252"/>
      <c r="AV17" s="252"/>
      <c r="AW17" s="252"/>
      <c r="AX17" s="253">
        <v>5</v>
      </c>
      <c r="AY17" s="253">
        <v>4</v>
      </c>
      <c r="AZ17" s="254" t="s">
        <v>412</v>
      </c>
      <c r="BA17" s="244">
        <v>18913</v>
      </c>
      <c r="BB17" s="242">
        <v>0.29642342172904518</v>
      </c>
      <c r="BC17" s="244">
        <v>16011</v>
      </c>
      <c r="BD17" s="255">
        <v>0.25094037991348511</v>
      </c>
    </row>
    <row r="18" spans="1:56" ht="17.100000000000001" customHeight="1">
      <c r="A18" s="258" t="s">
        <v>231</v>
      </c>
      <c r="B18" s="240">
        <v>7161</v>
      </c>
      <c r="C18" s="241">
        <v>500</v>
      </c>
      <c r="D18" s="242">
        <v>9.1491308325709064E-2</v>
      </c>
      <c r="E18" s="243">
        <v>2120</v>
      </c>
      <c r="F18" s="242">
        <v>0.38792314730100641</v>
      </c>
      <c r="G18" s="241">
        <v>1358</v>
      </c>
      <c r="H18" s="242">
        <v>0.2484903934126258</v>
      </c>
      <c r="I18" s="241">
        <v>1061</v>
      </c>
      <c r="J18" s="242">
        <v>0.19414455626715463</v>
      </c>
      <c r="K18" s="241">
        <v>242</v>
      </c>
      <c r="L18" s="242">
        <v>4.4281793229643186E-2</v>
      </c>
      <c r="M18" s="222"/>
      <c r="N18" s="223"/>
      <c r="O18" s="222"/>
      <c r="P18" s="223"/>
      <c r="Q18" s="222"/>
      <c r="R18" s="223"/>
      <c r="S18" s="222"/>
      <c r="T18" s="223"/>
      <c r="U18" s="241">
        <v>8</v>
      </c>
      <c r="V18" s="242">
        <v>1.463860933211345E-3</v>
      </c>
      <c r="W18" s="244">
        <v>5289</v>
      </c>
      <c r="X18" s="242">
        <v>0.9677950594693504</v>
      </c>
      <c r="Y18" s="241">
        <v>176</v>
      </c>
      <c r="Z18" s="245">
        <v>3.2204940530649588E-2</v>
      </c>
      <c r="AA18" s="246">
        <v>5465</v>
      </c>
      <c r="AC18" s="247"/>
      <c r="AD18" s="248">
        <v>0</v>
      </c>
      <c r="AF18" s="247"/>
      <c r="AG18" s="248">
        <v>0</v>
      </c>
      <c r="AI18" s="240">
        <v>5465</v>
      </c>
      <c r="AJ18" s="248">
        <v>0.76316156961318249</v>
      </c>
      <c r="AL18" s="249" t="s">
        <v>410</v>
      </c>
      <c r="AM18" s="244">
        <v>2120</v>
      </c>
      <c r="AN18" s="250">
        <v>0.38792314730100641</v>
      </c>
      <c r="AO18" s="251">
        <v>4</v>
      </c>
      <c r="AP18" s="251">
        <v>1</v>
      </c>
      <c r="AQ18" s="251">
        <v>2</v>
      </c>
      <c r="AR18" s="251">
        <v>3</v>
      </c>
      <c r="AS18" s="251">
        <v>5</v>
      </c>
      <c r="AT18" s="252"/>
      <c r="AU18" s="252"/>
      <c r="AV18" s="252"/>
      <c r="AW18" s="252"/>
      <c r="AX18" s="253">
        <v>7</v>
      </c>
      <c r="AY18" s="253">
        <v>6</v>
      </c>
      <c r="AZ18" s="254" t="s">
        <v>10</v>
      </c>
      <c r="BA18" s="244">
        <v>1358</v>
      </c>
      <c r="BB18" s="242">
        <v>0.2484903934126258</v>
      </c>
      <c r="BC18" s="244">
        <v>762</v>
      </c>
      <c r="BD18" s="255">
        <v>0.13943275388838061</v>
      </c>
    </row>
    <row r="19" spans="1:56" ht="17.100000000000001" customHeight="1">
      <c r="A19" s="259" t="s">
        <v>232</v>
      </c>
      <c r="B19" s="240">
        <v>15044</v>
      </c>
      <c r="C19" s="241">
        <v>2395</v>
      </c>
      <c r="D19" s="242">
        <v>0.21108760796756565</v>
      </c>
      <c r="E19" s="243">
        <v>4690</v>
      </c>
      <c r="F19" s="242">
        <v>0.41336153710558787</v>
      </c>
      <c r="G19" s="222"/>
      <c r="H19" s="223"/>
      <c r="I19" s="222"/>
      <c r="J19" s="223"/>
      <c r="K19" s="222"/>
      <c r="L19" s="223"/>
      <c r="M19" s="222"/>
      <c r="N19" s="223"/>
      <c r="O19" s="241">
        <v>3905</v>
      </c>
      <c r="P19" s="242">
        <v>0.34417415829367176</v>
      </c>
      <c r="Q19" s="222"/>
      <c r="R19" s="223"/>
      <c r="S19" s="222"/>
      <c r="T19" s="223"/>
      <c r="U19" s="241">
        <v>10</v>
      </c>
      <c r="V19" s="242">
        <v>8.8136788295434514E-4</v>
      </c>
      <c r="W19" s="244">
        <v>11000</v>
      </c>
      <c r="X19" s="242">
        <v>0.96950467124977968</v>
      </c>
      <c r="Y19" s="241">
        <v>346</v>
      </c>
      <c r="Z19" s="245">
        <v>3.0495328750220343E-2</v>
      </c>
      <c r="AA19" s="246">
        <v>11346</v>
      </c>
      <c r="AC19" s="247"/>
      <c r="AD19" s="248">
        <v>0</v>
      </c>
      <c r="AF19" s="247"/>
      <c r="AG19" s="248">
        <v>0</v>
      </c>
      <c r="AI19" s="240">
        <v>11346</v>
      </c>
      <c r="AJ19" s="248">
        <v>0.75418771603296997</v>
      </c>
      <c r="AL19" s="249" t="s">
        <v>410</v>
      </c>
      <c r="AM19" s="244">
        <v>4690</v>
      </c>
      <c r="AN19" s="250">
        <v>0.41336153710558787</v>
      </c>
      <c r="AO19" s="251">
        <v>3</v>
      </c>
      <c r="AP19" s="251">
        <v>1</v>
      </c>
      <c r="AQ19" s="252"/>
      <c r="AR19" s="252"/>
      <c r="AS19" s="252"/>
      <c r="AT19" s="252"/>
      <c r="AU19" s="251">
        <v>2</v>
      </c>
      <c r="AV19" s="252"/>
      <c r="AW19" s="252"/>
      <c r="AX19" s="253">
        <v>5</v>
      </c>
      <c r="AY19" s="253">
        <v>4</v>
      </c>
      <c r="AZ19" s="254" t="s">
        <v>256</v>
      </c>
      <c r="BA19" s="244">
        <v>3905</v>
      </c>
      <c r="BB19" s="242">
        <v>0.34417415829367176</v>
      </c>
      <c r="BC19" s="244">
        <v>785</v>
      </c>
      <c r="BD19" s="255">
        <v>6.9187378811916111E-2</v>
      </c>
    </row>
    <row r="20" spans="1:56" ht="17.100000000000001" customHeight="1">
      <c r="A20" s="239" t="s">
        <v>428</v>
      </c>
      <c r="B20" s="240">
        <v>21303</v>
      </c>
      <c r="C20" s="241">
        <v>426</v>
      </c>
      <c r="D20" s="242">
        <v>2.8388644542183126E-2</v>
      </c>
      <c r="E20" s="243">
        <v>7629</v>
      </c>
      <c r="F20" s="242">
        <v>0.50839664134346263</v>
      </c>
      <c r="G20" s="222"/>
      <c r="H20" s="223"/>
      <c r="I20" s="222"/>
      <c r="J20" s="223"/>
      <c r="K20" s="241">
        <v>38</v>
      </c>
      <c r="L20" s="242">
        <v>2.5323204051712648E-3</v>
      </c>
      <c r="M20" s="222"/>
      <c r="N20" s="223"/>
      <c r="O20" s="241">
        <v>6189</v>
      </c>
      <c r="P20" s="242">
        <v>0.41243502598960413</v>
      </c>
      <c r="Q20" s="222"/>
      <c r="R20" s="223"/>
      <c r="S20" s="222"/>
      <c r="T20" s="223"/>
      <c r="U20" s="241">
        <v>5</v>
      </c>
      <c r="V20" s="242">
        <v>3.3320005331200853E-4</v>
      </c>
      <c r="W20" s="244">
        <v>14287</v>
      </c>
      <c r="X20" s="242">
        <v>0.95208583233373323</v>
      </c>
      <c r="Y20" s="241">
        <v>719</v>
      </c>
      <c r="Z20" s="245">
        <v>4.7914167666266827E-2</v>
      </c>
      <c r="AA20" s="246">
        <v>15006</v>
      </c>
      <c r="AC20" s="247"/>
      <c r="AD20" s="248">
        <v>0</v>
      </c>
      <c r="AF20" s="247"/>
      <c r="AG20" s="248">
        <v>0</v>
      </c>
      <c r="AI20" s="240">
        <v>15006</v>
      </c>
      <c r="AJ20" s="248">
        <v>0.70440782988311501</v>
      </c>
      <c r="AL20" s="249" t="s">
        <v>410</v>
      </c>
      <c r="AM20" s="244">
        <v>7629</v>
      </c>
      <c r="AN20" s="250">
        <v>0.50839664134346263</v>
      </c>
      <c r="AO20" s="251">
        <v>4</v>
      </c>
      <c r="AP20" s="251">
        <v>1</v>
      </c>
      <c r="AQ20" s="252"/>
      <c r="AR20" s="252"/>
      <c r="AS20" s="251">
        <v>5</v>
      </c>
      <c r="AT20" s="252"/>
      <c r="AU20" s="251">
        <v>2</v>
      </c>
      <c r="AV20" s="252"/>
      <c r="AW20" s="252"/>
      <c r="AX20" s="253">
        <v>6</v>
      </c>
      <c r="AY20" s="253">
        <v>3</v>
      </c>
      <c r="AZ20" s="254" t="s">
        <v>256</v>
      </c>
      <c r="BA20" s="244">
        <v>6189</v>
      </c>
      <c r="BB20" s="242">
        <v>0.41243502598960413</v>
      </c>
      <c r="BC20" s="244">
        <v>1440</v>
      </c>
      <c r="BD20" s="255">
        <v>9.5961615353858498E-2</v>
      </c>
    </row>
    <row r="21" spans="1:56" ht="17.100000000000001" customHeight="1">
      <c r="A21" s="239" t="s">
        <v>234</v>
      </c>
      <c r="B21" s="240">
        <v>35791</v>
      </c>
      <c r="C21" s="241">
        <v>1624</v>
      </c>
      <c r="D21" s="242">
        <v>6.4900291731606927E-2</v>
      </c>
      <c r="E21" s="243">
        <v>10098</v>
      </c>
      <c r="F21" s="242">
        <v>0.40354873516364942</v>
      </c>
      <c r="G21" s="241">
        <v>8971</v>
      </c>
      <c r="H21" s="242">
        <v>0.35851017064300844</v>
      </c>
      <c r="I21" s="241">
        <v>405</v>
      </c>
      <c r="J21" s="242">
        <v>1.6185109699076848E-2</v>
      </c>
      <c r="K21" s="241">
        <v>2920</v>
      </c>
      <c r="L21" s="242">
        <v>0.11669264276865284</v>
      </c>
      <c r="M21" s="222"/>
      <c r="N21" s="223"/>
      <c r="O21" s="222"/>
      <c r="P21" s="223"/>
      <c r="Q21" s="222"/>
      <c r="R21" s="223"/>
      <c r="S21" s="222"/>
      <c r="T21" s="223"/>
      <c r="U21" s="241">
        <v>6</v>
      </c>
      <c r="V21" s="242">
        <v>2.3977940294928664E-4</v>
      </c>
      <c r="W21" s="244">
        <v>24024</v>
      </c>
      <c r="X21" s="242">
        <v>0.96007672940894373</v>
      </c>
      <c r="Y21" s="241">
        <v>999</v>
      </c>
      <c r="Z21" s="245">
        <v>3.9923270591056229E-2</v>
      </c>
      <c r="AA21" s="246">
        <v>25023</v>
      </c>
      <c r="AC21" s="247"/>
      <c r="AD21" s="248">
        <v>0</v>
      </c>
      <c r="AF21" s="247"/>
      <c r="AG21" s="248">
        <v>0</v>
      </c>
      <c r="AI21" s="240">
        <v>25023</v>
      </c>
      <c r="AJ21" s="248">
        <v>0.69914224246318912</v>
      </c>
      <c r="AL21" s="249" t="s">
        <v>410</v>
      </c>
      <c r="AM21" s="244">
        <v>10098</v>
      </c>
      <c r="AN21" s="250">
        <v>0.40354873516364942</v>
      </c>
      <c r="AO21" s="251">
        <v>4</v>
      </c>
      <c r="AP21" s="251">
        <v>1</v>
      </c>
      <c r="AQ21" s="251">
        <v>2</v>
      </c>
      <c r="AR21" s="251">
        <v>6</v>
      </c>
      <c r="AS21" s="251">
        <v>3</v>
      </c>
      <c r="AT21" s="252"/>
      <c r="AU21" s="252"/>
      <c r="AV21" s="252"/>
      <c r="AW21" s="252"/>
      <c r="AX21" s="253">
        <v>7</v>
      </c>
      <c r="AY21" s="253">
        <v>5</v>
      </c>
      <c r="AZ21" s="254" t="s">
        <v>10</v>
      </c>
      <c r="BA21" s="244">
        <v>8971</v>
      </c>
      <c r="BB21" s="242">
        <v>0.35851017064300844</v>
      </c>
      <c r="BC21" s="244">
        <v>1127</v>
      </c>
      <c r="BD21" s="255">
        <v>4.5038564520640978E-2</v>
      </c>
    </row>
    <row r="22" spans="1:56" ht="17.100000000000001" customHeight="1">
      <c r="A22" s="239" t="s">
        <v>429</v>
      </c>
      <c r="B22" s="240">
        <v>18600</v>
      </c>
      <c r="C22" s="241">
        <v>7607</v>
      </c>
      <c r="D22" s="242">
        <v>0.58918751452250018</v>
      </c>
      <c r="E22" s="243">
        <v>4034</v>
      </c>
      <c r="F22" s="242">
        <v>0.31244675083262335</v>
      </c>
      <c r="G22" s="222"/>
      <c r="H22" s="223"/>
      <c r="I22" s="222"/>
      <c r="J22" s="223"/>
      <c r="K22" s="241">
        <v>103</v>
      </c>
      <c r="L22" s="242">
        <v>7.9776934397025791E-3</v>
      </c>
      <c r="M22" s="222"/>
      <c r="N22" s="223"/>
      <c r="O22" s="241">
        <v>714</v>
      </c>
      <c r="P22" s="242">
        <v>5.5301680737355745E-2</v>
      </c>
      <c r="Q22" s="222"/>
      <c r="R22" s="223"/>
      <c r="S22" s="222"/>
      <c r="T22" s="223"/>
      <c r="U22" s="241">
        <v>14</v>
      </c>
      <c r="V22" s="242">
        <v>1.0843466811246223E-3</v>
      </c>
      <c r="W22" s="244">
        <v>12472</v>
      </c>
      <c r="X22" s="242">
        <v>0.96599798621330646</v>
      </c>
      <c r="Y22" s="241">
        <v>439</v>
      </c>
      <c r="Z22" s="245">
        <v>3.400201378669352E-2</v>
      </c>
      <c r="AA22" s="246">
        <v>12911</v>
      </c>
      <c r="AC22" s="247"/>
      <c r="AD22" s="248">
        <v>0</v>
      </c>
      <c r="AF22" s="247"/>
      <c r="AG22" s="248">
        <v>0</v>
      </c>
      <c r="AI22" s="240">
        <v>12911</v>
      </c>
      <c r="AJ22" s="248">
        <v>0.69413978494623652</v>
      </c>
      <c r="AL22" s="249" t="s">
        <v>7</v>
      </c>
      <c r="AM22" s="244">
        <v>7607</v>
      </c>
      <c r="AN22" s="250">
        <v>0.58918751452250018</v>
      </c>
      <c r="AO22" s="251">
        <v>1</v>
      </c>
      <c r="AP22" s="251">
        <v>2</v>
      </c>
      <c r="AQ22" s="252"/>
      <c r="AR22" s="252"/>
      <c r="AS22" s="251">
        <v>5</v>
      </c>
      <c r="AT22" s="252"/>
      <c r="AU22" s="251">
        <v>3</v>
      </c>
      <c r="AV22" s="252"/>
      <c r="AW22" s="252"/>
      <c r="AX22" s="253">
        <v>6</v>
      </c>
      <c r="AY22" s="253">
        <v>4</v>
      </c>
      <c r="AZ22" s="254" t="s">
        <v>410</v>
      </c>
      <c r="BA22" s="244">
        <v>4034</v>
      </c>
      <c r="BB22" s="242">
        <v>0.31244675083262335</v>
      </c>
      <c r="BC22" s="244">
        <v>3573</v>
      </c>
      <c r="BD22" s="255">
        <v>0.27674076368987682</v>
      </c>
    </row>
    <row r="23" spans="1:56" ht="17.100000000000001" customHeight="1">
      <c r="A23" s="239" t="s">
        <v>236</v>
      </c>
      <c r="B23" s="240">
        <v>30693</v>
      </c>
      <c r="C23" s="241">
        <v>2336</v>
      </c>
      <c r="D23" s="242">
        <v>0.11415725944387431</v>
      </c>
      <c r="E23" s="243">
        <v>6239</v>
      </c>
      <c r="F23" s="242">
        <v>0.3048917558520256</v>
      </c>
      <c r="G23" s="241">
        <v>3617</v>
      </c>
      <c r="H23" s="242">
        <v>0.17675805111664955</v>
      </c>
      <c r="I23" s="241">
        <v>2858</v>
      </c>
      <c r="J23" s="242">
        <v>0.13966671553535651</v>
      </c>
      <c r="K23" s="241">
        <v>4348</v>
      </c>
      <c r="L23" s="242">
        <v>0.21248106338269071</v>
      </c>
      <c r="M23" s="222"/>
      <c r="N23" s="223"/>
      <c r="O23" s="222"/>
      <c r="P23" s="223"/>
      <c r="Q23" s="222"/>
      <c r="R23" s="223"/>
      <c r="S23" s="222"/>
      <c r="T23" s="223"/>
      <c r="U23" s="241">
        <v>30</v>
      </c>
      <c r="V23" s="242">
        <v>1.4660606949127694E-3</v>
      </c>
      <c r="W23" s="244">
        <v>19428</v>
      </c>
      <c r="X23" s="242">
        <v>0.94942090602550944</v>
      </c>
      <c r="Y23" s="241">
        <v>1035</v>
      </c>
      <c r="Z23" s="245">
        <v>5.0579093974490542E-2</v>
      </c>
      <c r="AA23" s="246">
        <v>20463</v>
      </c>
      <c r="AC23" s="247"/>
      <c r="AD23" s="248">
        <v>0</v>
      </c>
      <c r="AF23" s="247"/>
      <c r="AG23" s="248">
        <v>0</v>
      </c>
      <c r="AI23" s="240">
        <v>20463</v>
      </c>
      <c r="AJ23" s="248">
        <v>0.66669924738539732</v>
      </c>
      <c r="AL23" s="249" t="s">
        <v>410</v>
      </c>
      <c r="AM23" s="244">
        <v>6239</v>
      </c>
      <c r="AN23" s="250">
        <v>0.3048917558520256</v>
      </c>
      <c r="AO23" s="251">
        <v>5</v>
      </c>
      <c r="AP23" s="251">
        <v>1</v>
      </c>
      <c r="AQ23" s="251">
        <v>3</v>
      </c>
      <c r="AR23" s="251">
        <v>4</v>
      </c>
      <c r="AS23" s="251">
        <v>2</v>
      </c>
      <c r="AT23" s="252"/>
      <c r="AU23" s="252"/>
      <c r="AV23" s="252"/>
      <c r="AW23" s="252"/>
      <c r="AX23" s="253">
        <v>7</v>
      </c>
      <c r="AY23" s="253">
        <v>6</v>
      </c>
      <c r="AZ23" s="254" t="s">
        <v>411</v>
      </c>
      <c r="BA23" s="244">
        <v>4348</v>
      </c>
      <c r="BB23" s="242">
        <v>0.21248106338269071</v>
      </c>
      <c r="BC23" s="244">
        <v>1891</v>
      </c>
      <c r="BD23" s="255">
        <v>9.2410692469334893E-2</v>
      </c>
    </row>
    <row r="24" spans="1:56" ht="17.100000000000001" customHeight="1">
      <c r="A24" s="239" t="s">
        <v>237</v>
      </c>
      <c r="B24" s="240">
        <v>6803</v>
      </c>
      <c r="C24" s="222"/>
      <c r="D24" s="223"/>
      <c r="E24" s="243">
        <v>2344</v>
      </c>
      <c r="F24" s="242">
        <v>0.47096644564998996</v>
      </c>
      <c r="G24" s="241">
        <v>310</v>
      </c>
      <c r="H24" s="242">
        <v>6.2286517982720516E-2</v>
      </c>
      <c r="I24" s="241">
        <v>1658</v>
      </c>
      <c r="J24" s="242">
        <v>0.33313240908177616</v>
      </c>
      <c r="K24" s="241">
        <v>445</v>
      </c>
      <c r="L24" s="242">
        <v>8.941129194293751E-2</v>
      </c>
      <c r="M24" s="222"/>
      <c r="N24" s="223"/>
      <c r="O24" s="222"/>
      <c r="P24" s="223"/>
      <c r="Q24" s="222"/>
      <c r="R24" s="223"/>
      <c r="S24" s="222"/>
      <c r="T24" s="223"/>
      <c r="U24" s="241">
        <v>19</v>
      </c>
      <c r="V24" s="242">
        <v>3.817560779586096E-3</v>
      </c>
      <c r="W24" s="244">
        <v>4776</v>
      </c>
      <c r="X24" s="242">
        <v>0.95961422543701025</v>
      </c>
      <c r="Y24" s="241">
        <v>201</v>
      </c>
      <c r="Z24" s="245">
        <v>4.0385774562989751E-2</v>
      </c>
      <c r="AA24" s="246">
        <v>4977</v>
      </c>
      <c r="AC24" s="247"/>
      <c r="AD24" s="248">
        <v>0</v>
      </c>
      <c r="AF24" s="247"/>
      <c r="AG24" s="248">
        <v>0</v>
      </c>
      <c r="AI24" s="240">
        <v>4977</v>
      </c>
      <c r="AJ24" s="248">
        <v>0.73158900485080114</v>
      </c>
      <c r="AL24" s="249" t="s">
        <v>410</v>
      </c>
      <c r="AM24" s="244">
        <v>2344</v>
      </c>
      <c r="AN24" s="250">
        <v>0.47096644564998996</v>
      </c>
      <c r="AO24" s="252"/>
      <c r="AP24" s="251">
        <v>1</v>
      </c>
      <c r="AQ24" s="251">
        <v>4</v>
      </c>
      <c r="AR24" s="251">
        <v>2</v>
      </c>
      <c r="AS24" s="251">
        <v>3</v>
      </c>
      <c r="AT24" s="252"/>
      <c r="AU24" s="252"/>
      <c r="AV24" s="252"/>
      <c r="AW24" s="252"/>
      <c r="AX24" s="253">
        <v>6</v>
      </c>
      <c r="AY24" s="253">
        <v>5</v>
      </c>
      <c r="AZ24" s="254" t="s">
        <v>11</v>
      </c>
      <c r="BA24" s="244">
        <v>1658</v>
      </c>
      <c r="BB24" s="242">
        <v>0.33313240908177616</v>
      </c>
      <c r="BC24" s="244">
        <v>686</v>
      </c>
      <c r="BD24" s="255">
        <v>0.1378340365682138</v>
      </c>
    </row>
    <row r="25" spans="1:56" ht="17.100000000000001" customHeight="1">
      <c r="A25" s="239" t="s">
        <v>430</v>
      </c>
      <c r="B25" s="240">
        <v>366339</v>
      </c>
      <c r="C25" s="241">
        <v>85001</v>
      </c>
      <c r="D25" s="242">
        <v>0.37147539550738573</v>
      </c>
      <c r="E25" s="243">
        <v>77827</v>
      </c>
      <c r="F25" s="242">
        <v>0.34012324097543922</v>
      </c>
      <c r="G25" s="241">
        <v>38496</v>
      </c>
      <c r="H25" s="242">
        <v>0.16823704221658947</v>
      </c>
      <c r="I25" s="241">
        <v>5639</v>
      </c>
      <c r="J25" s="242">
        <v>2.4643824840485971E-2</v>
      </c>
      <c r="K25" s="241">
        <v>3733</v>
      </c>
      <c r="L25" s="242">
        <v>1.6314133379949306E-2</v>
      </c>
      <c r="M25" s="222"/>
      <c r="N25" s="223"/>
      <c r="O25" s="222"/>
      <c r="P25" s="223"/>
      <c r="Q25" s="222"/>
      <c r="R25" s="223"/>
      <c r="S25" s="222"/>
      <c r="T25" s="223"/>
      <c r="U25" s="241">
        <v>196</v>
      </c>
      <c r="V25" s="242">
        <v>8.5656848177606852E-4</v>
      </c>
      <c r="W25" s="244">
        <v>210892</v>
      </c>
      <c r="X25" s="242">
        <v>0.92165020540162568</v>
      </c>
      <c r="Y25" s="241">
        <v>12482</v>
      </c>
      <c r="Z25" s="245">
        <v>5.4549427497596364E-2</v>
      </c>
      <c r="AA25" s="246">
        <v>223374</v>
      </c>
      <c r="AC25" s="247">
        <v>5446</v>
      </c>
      <c r="AD25" s="248">
        <v>2.3800367100777903E-2</v>
      </c>
      <c r="AF25" s="247"/>
      <c r="AG25" s="248">
        <v>0</v>
      </c>
      <c r="AI25" s="240">
        <v>228820</v>
      </c>
      <c r="AJ25" s="248">
        <v>0.62461272209620056</v>
      </c>
      <c r="AL25" s="249" t="s">
        <v>7</v>
      </c>
      <c r="AM25" s="244">
        <v>85001</v>
      </c>
      <c r="AN25" s="250">
        <v>0.37147539550738573</v>
      </c>
      <c r="AO25" s="251">
        <v>1</v>
      </c>
      <c r="AP25" s="251">
        <v>2</v>
      </c>
      <c r="AQ25" s="251">
        <v>3</v>
      </c>
      <c r="AR25" s="251">
        <v>5</v>
      </c>
      <c r="AS25" s="251">
        <v>6</v>
      </c>
      <c r="AT25" s="252"/>
      <c r="AU25" s="252"/>
      <c r="AV25" s="252"/>
      <c r="AW25" s="252"/>
      <c r="AX25" s="253">
        <v>7</v>
      </c>
      <c r="AY25" s="253">
        <v>4</v>
      </c>
      <c r="AZ25" s="254" t="s">
        <v>410</v>
      </c>
      <c r="BA25" s="244">
        <v>77827</v>
      </c>
      <c r="BB25" s="242">
        <v>0.34012324097543922</v>
      </c>
      <c r="BC25" s="244">
        <v>7174</v>
      </c>
      <c r="BD25" s="255">
        <v>3.1352154531946508E-2</v>
      </c>
    </row>
    <row r="26" spans="1:56" ht="17.100000000000001" customHeight="1">
      <c r="A26" s="239" t="s">
        <v>239</v>
      </c>
      <c r="B26" s="240">
        <v>63587</v>
      </c>
      <c r="C26" s="241">
        <v>6557</v>
      </c>
      <c r="D26" s="242">
        <v>0.15742341304139057</v>
      </c>
      <c r="E26" s="243">
        <v>26115</v>
      </c>
      <c r="F26" s="242">
        <v>0.62698069720541627</v>
      </c>
      <c r="G26" s="241">
        <v>3049</v>
      </c>
      <c r="H26" s="242">
        <v>7.3201767021991743E-2</v>
      </c>
      <c r="I26" s="241">
        <v>931</v>
      </c>
      <c r="J26" s="242">
        <v>2.2351867857485833E-2</v>
      </c>
      <c r="K26" s="241">
        <v>3073</v>
      </c>
      <c r="L26" s="242">
        <v>7.377796984538558E-2</v>
      </c>
      <c r="M26" s="222"/>
      <c r="N26" s="223"/>
      <c r="O26" s="222"/>
      <c r="P26" s="223"/>
      <c r="Q26" s="222"/>
      <c r="R26" s="223"/>
      <c r="S26" s="222"/>
      <c r="T26" s="223"/>
      <c r="U26" s="241">
        <v>71</v>
      </c>
      <c r="V26" s="242">
        <v>1.7046000192067609E-3</v>
      </c>
      <c r="W26" s="244">
        <v>39796</v>
      </c>
      <c r="X26" s="242">
        <v>0.95544031499087678</v>
      </c>
      <c r="Y26" s="241">
        <v>1856</v>
      </c>
      <c r="Z26" s="245">
        <v>4.4559685009123211E-2</v>
      </c>
      <c r="AA26" s="246">
        <v>41652</v>
      </c>
      <c r="AC26" s="247"/>
      <c r="AD26" s="248">
        <v>0</v>
      </c>
      <c r="AF26" s="247"/>
      <c r="AG26" s="248">
        <v>0</v>
      </c>
      <c r="AI26" s="240">
        <v>41652</v>
      </c>
      <c r="AJ26" s="248">
        <v>0.65503955210970799</v>
      </c>
      <c r="AL26" s="249" t="s">
        <v>410</v>
      </c>
      <c r="AM26" s="244">
        <v>26115</v>
      </c>
      <c r="AN26" s="250">
        <v>0.62698069720541627</v>
      </c>
      <c r="AO26" s="251">
        <v>2</v>
      </c>
      <c r="AP26" s="251">
        <v>1</v>
      </c>
      <c r="AQ26" s="251">
        <v>4</v>
      </c>
      <c r="AR26" s="251">
        <v>6</v>
      </c>
      <c r="AS26" s="251">
        <v>3</v>
      </c>
      <c r="AT26" s="252"/>
      <c r="AU26" s="252"/>
      <c r="AV26" s="252"/>
      <c r="AW26" s="252"/>
      <c r="AX26" s="253">
        <v>7</v>
      </c>
      <c r="AY26" s="253">
        <v>5</v>
      </c>
      <c r="AZ26" s="254" t="s">
        <v>7</v>
      </c>
      <c r="BA26" s="244">
        <v>6557</v>
      </c>
      <c r="BB26" s="242">
        <v>0.15742341304139057</v>
      </c>
      <c r="BC26" s="244">
        <v>19558</v>
      </c>
      <c r="BD26" s="255">
        <v>0.4695572841640257</v>
      </c>
    </row>
    <row r="27" spans="1:56" ht="17.100000000000001" customHeight="1">
      <c r="A27" s="239" t="s">
        <v>240</v>
      </c>
      <c r="B27" s="240">
        <v>18528</v>
      </c>
      <c r="C27" s="241">
        <v>3732</v>
      </c>
      <c r="D27" s="242">
        <v>0.30218623481781376</v>
      </c>
      <c r="E27" s="243">
        <v>3514</v>
      </c>
      <c r="F27" s="242">
        <v>0.28453441295546561</v>
      </c>
      <c r="G27" s="241">
        <v>2583</v>
      </c>
      <c r="H27" s="242">
        <v>0.2091497975708502</v>
      </c>
      <c r="I27" s="241">
        <v>393</v>
      </c>
      <c r="J27" s="242">
        <v>3.1821862348178138E-2</v>
      </c>
      <c r="K27" s="241">
        <v>1537</v>
      </c>
      <c r="L27" s="242">
        <v>0.12445344129554656</v>
      </c>
      <c r="M27" s="222"/>
      <c r="N27" s="223"/>
      <c r="O27" s="222"/>
      <c r="P27" s="223"/>
      <c r="Q27" s="222"/>
      <c r="R27" s="223"/>
      <c r="S27" s="222"/>
      <c r="T27" s="223"/>
      <c r="U27" s="241">
        <v>15</v>
      </c>
      <c r="V27" s="242">
        <v>1.2145748987854252E-3</v>
      </c>
      <c r="W27" s="244">
        <v>11774</v>
      </c>
      <c r="X27" s="242">
        <v>0.95336032388663972</v>
      </c>
      <c r="Y27" s="241">
        <v>576</v>
      </c>
      <c r="Z27" s="245">
        <v>4.6639676113360326E-2</v>
      </c>
      <c r="AA27" s="246">
        <v>12350</v>
      </c>
      <c r="AC27" s="247"/>
      <c r="AD27" s="248">
        <v>0</v>
      </c>
      <c r="AF27" s="247"/>
      <c r="AG27" s="248">
        <v>0</v>
      </c>
      <c r="AI27" s="240">
        <v>12350</v>
      </c>
      <c r="AJ27" s="248">
        <v>0.6665587219343696</v>
      </c>
      <c r="AL27" s="249" t="s">
        <v>7</v>
      </c>
      <c r="AM27" s="244">
        <v>3732</v>
      </c>
      <c r="AN27" s="250">
        <v>0.30218623481781376</v>
      </c>
      <c r="AO27" s="251">
        <v>1</v>
      </c>
      <c r="AP27" s="251">
        <v>2</v>
      </c>
      <c r="AQ27" s="251">
        <v>3</v>
      </c>
      <c r="AR27" s="251">
        <v>6</v>
      </c>
      <c r="AS27" s="251">
        <v>4</v>
      </c>
      <c r="AT27" s="252"/>
      <c r="AU27" s="252"/>
      <c r="AV27" s="252"/>
      <c r="AW27" s="252"/>
      <c r="AX27" s="253">
        <v>7</v>
      </c>
      <c r="AY27" s="253">
        <v>5</v>
      </c>
      <c r="AZ27" s="254" t="s">
        <v>410</v>
      </c>
      <c r="BA27" s="244">
        <v>3514</v>
      </c>
      <c r="BB27" s="242">
        <v>0.28453441295546561</v>
      </c>
      <c r="BC27" s="244">
        <v>218</v>
      </c>
      <c r="BD27" s="255">
        <v>1.7651821862348149E-2</v>
      </c>
    </row>
    <row r="28" spans="1:56" ht="17.100000000000001" customHeight="1">
      <c r="A28" s="239" t="s">
        <v>241</v>
      </c>
      <c r="B28" s="240">
        <v>15673</v>
      </c>
      <c r="C28" s="241">
        <v>4467</v>
      </c>
      <c r="D28" s="242">
        <v>0.34816835541699143</v>
      </c>
      <c r="E28" s="243">
        <v>5190</v>
      </c>
      <c r="F28" s="242">
        <v>0.40452065471551052</v>
      </c>
      <c r="G28" s="241">
        <v>404</v>
      </c>
      <c r="H28" s="242">
        <v>3.1488698363211221E-2</v>
      </c>
      <c r="I28" s="241">
        <v>2217</v>
      </c>
      <c r="J28" s="242">
        <v>0.17279812938425565</v>
      </c>
      <c r="K28" s="241">
        <v>84</v>
      </c>
      <c r="L28" s="242">
        <v>6.5471551052221355E-3</v>
      </c>
      <c r="M28" s="222"/>
      <c r="N28" s="223"/>
      <c r="O28" s="222"/>
      <c r="P28" s="223"/>
      <c r="Q28" s="222"/>
      <c r="R28" s="223"/>
      <c r="S28" s="222"/>
      <c r="T28" s="223"/>
      <c r="U28" s="241">
        <v>1</v>
      </c>
      <c r="V28" s="242">
        <v>7.7942322681215901E-5</v>
      </c>
      <c r="W28" s="244">
        <v>12363</v>
      </c>
      <c r="X28" s="242">
        <v>0.96360093530787216</v>
      </c>
      <c r="Y28" s="241">
        <v>467</v>
      </c>
      <c r="Z28" s="245">
        <v>3.6399064692127822E-2</v>
      </c>
      <c r="AA28" s="246">
        <v>12830</v>
      </c>
      <c r="AC28" s="247"/>
      <c r="AD28" s="248">
        <v>0</v>
      </c>
      <c r="AF28" s="247"/>
      <c r="AG28" s="248">
        <v>0</v>
      </c>
      <c r="AI28" s="240">
        <v>12830</v>
      </c>
      <c r="AJ28" s="248">
        <v>0.81860524468831752</v>
      </c>
      <c r="AL28" s="249" t="s">
        <v>410</v>
      </c>
      <c r="AM28" s="244">
        <v>5190</v>
      </c>
      <c r="AN28" s="250">
        <v>0.40452065471551052</v>
      </c>
      <c r="AO28" s="251">
        <v>2</v>
      </c>
      <c r="AP28" s="251">
        <v>1</v>
      </c>
      <c r="AQ28" s="251">
        <v>5</v>
      </c>
      <c r="AR28" s="251">
        <v>3</v>
      </c>
      <c r="AS28" s="251">
        <v>6</v>
      </c>
      <c r="AT28" s="252"/>
      <c r="AU28" s="252"/>
      <c r="AV28" s="252"/>
      <c r="AW28" s="252"/>
      <c r="AX28" s="253">
        <v>7</v>
      </c>
      <c r="AY28" s="253">
        <v>4</v>
      </c>
      <c r="AZ28" s="254" t="s">
        <v>7</v>
      </c>
      <c r="BA28" s="244">
        <v>4467</v>
      </c>
      <c r="BB28" s="256">
        <v>0.34816835541699143</v>
      </c>
      <c r="BC28" s="244">
        <v>723</v>
      </c>
      <c r="BD28" s="255">
        <v>5.6352299298519093E-2</v>
      </c>
    </row>
    <row r="29" spans="1:56" ht="17.100000000000001" customHeight="1">
      <c r="A29" s="239" t="s">
        <v>242</v>
      </c>
      <c r="B29" s="240">
        <v>4903</v>
      </c>
      <c r="C29" s="241">
        <v>309</v>
      </c>
      <c r="D29" s="242">
        <v>8.3019881783987101E-2</v>
      </c>
      <c r="E29" s="243">
        <v>1170</v>
      </c>
      <c r="F29" s="242">
        <v>0.31434712520150454</v>
      </c>
      <c r="G29" s="241">
        <v>1017</v>
      </c>
      <c r="H29" s="242">
        <v>0.27324019344438472</v>
      </c>
      <c r="I29" s="241">
        <v>1072</v>
      </c>
      <c r="J29" s="242">
        <v>0.28801719505642126</v>
      </c>
      <c r="K29" s="241">
        <v>49</v>
      </c>
      <c r="L29" s="242">
        <v>1.3164965072541644E-2</v>
      </c>
      <c r="M29" s="222"/>
      <c r="N29" s="223"/>
      <c r="O29" s="222"/>
      <c r="P29" s="223"/>
      <c r="Q29" s="222"/>
      <c r="R29" s="223"/>
      <c r="S29" s="222"/>
      <c r="T29" s="223"/>
      <c r="U29" s="241">
        <v>1</v>
      </c>
      <c r="V29" s="242">
        <v>2.6867275658248256E-4</v>
      </c>
      <c r="W29" s="244">
        <v>3618</v>
      </c>
      <c r="X29" s="242">
        <v>0.97205803331542184</v>
      </c>
      <c r="Y29" s="241">
        <v>104</v>
      </c>
      <c r="Z29" s="245">
        <v>2.7941966684578184E-2</v>
      </c>
      <c r="AA29" s="246">
        <v>3722</v>
      </c>
      <c r="AC29" s="247"/>
      <c r="AD29" s="248">
        <v>0</v>
      </c>
      <c r="AF29" s="247"/>
      <c r="AG29" s="248">
        <v>0</v>
      </c>
      <c r="AI29" s="240">
        <v>3722</v>
      </c>
      <c r="AJ29" s="248">
        <v>0.75912706506220684</v>
      </c>
      <c r="AL29" s="249" t="s">
        <v>410</v>
      </c>
      <c r="AM29" s="244">
        <v>1170</v>
      </c>
      <c r="AN29" s="250">
        <v>0.31434712520150454</v>
      </c>
      <c r="AO29" s="251">
        <v>4</v>
      </c>
      <c r="AP29" s="251">
        <v>1</v>
      </c>
      <c r="AQ29" s="251">
        <v>3</v>
      </c>
      <c r="AR29" s="251">
        <v>2</v>
      </c>
      <c r="AS29" s="251">
        <v>6</v>
      </c>
      <c r="AT29" s="252"/>
      <c r="AU29" s="252"/>
      <c r="AV29" s="252"/>
      <c r="AW29" s="252"/>
      <c r="AX29" s="253">
        <v>7</v>
      </c>
      <c r="AY29" s="253">
        <v>5</v>
      </c>
      <c r="AZ29" s="254" t="s">
        <v>11</v>
      </c>
      <c r="BA29" s="244">
        <v>1072</v>
      </c>
      <c r="BB29" s="242">
        <v>0.28801719505642126</v>
      </c>
      <c r="BC29" s="244">
        <v>98</v>
      </c>
      <c r="BD29" s="255">
        <v>2.632993014508328E-2</v>
      </c>
    </row>
    <row r="30" spans="1:56" ht="17.100000000000001" customHeight="1">
      <c r="A30" s="239" t="s">
        <v>243</v>
      </c>
      <c r="B30" s="240">
        <v>28280</v>
      </c>
      <c r="C30" s="241">
        <v>5830</v>
      </c>
      <c r="D30" s="242">
        <v>0.27952246248261975</v>
      </c>
      <c r="E30" s="243">
        <v>6022</v>
      </c>
      <c r="F30" s="242">
        <v>0.2887280049863355</v>
      </c>
      <c r="G30" s="241">
        <v>612</v>
      </c>
      <c r="H30" s="242">
        <v>2.9342666730594043E-2</v>
      </c>
      <c r="I30" s="241">
        <v>6682</v>
      </c>
      <c r="J30" s="242">
        <v>0.32037205734285851</v>
      </c>
      <c r="K30" s="241">
        <v>955</v>
      </c>
      <c r="L30" s="242">
        <v>4.5787984849211295E-2</v>
      </c>
      <c r="M30" s="222"/>
      <c r="N30" s="223"/>
      <c r="O30" s="222"/>
      <c r="P30" s="223"/>
      <c r="Q30" s="222"/>
      <c r="R30" s="223"/>
      <c r="S30" s="222"/>
      <c r="T30" s="223"/>
      <c r="U30" s="241">
        <v>15</v>
      </c>
      <c r="V30" s="242">
        <v>7.1918300810279521E-4</v>
      </c>
      <c r="W30" s="244">
        <v>20116</v>
      </c>
      <c r="X30" s="242">
        <v>0.96447235939972187</v>
      </c>
      <c r="Y30" s="241">
        <v>741</v>
      </c>
      <c r="Z30" s="245">
        <v>3.5527640600278083E-2</v>
      </c>
      <c r="AA30" s="246">
        <v>20857</v>
      </c>
      <c r="AC30" s="247"/>
      <c r="AD30" s="248">
        <v>0</v>
      </c>
      <c r="AF30" s="247"/>
      <c r="AG30" s="248">
        <v>0</v>
      </c>
      <c r="AI30" s="240">
        <v>20857</v>
      </c>
      <c r="AJ30" s="248">
        <v>0.73751768033946252</v>
      </c>
      <c r="AL30" s="249" t="s">
        <v>11</v>
      </c>
      <c r="AM30" s="244">
        <v>6682</v>
      </c>
      <c r="AN30" s="250">
        <v>0.32037205734285851</v>
      </c>
      <c r="AO30" s="251">
        <v>3</v>
      </c>
      <c r="AP30" s="251">
        <v>2</v>
      </c>
      <c r="AQ30" s="251">
        <v>6</v>
      </c>
      <c r="AR30" s="251">
        <v>1</v>
      </c>
      <c r="AS30" s="251">
        <v>4</v>
      </c>
      <c r="AT30" s="252"/>
      <c r="AU30" s="252"/>
      <c r="AV30" s="252"/>
      <c r="AW30" s="252"/>
      <c r="AX30" s="253">
        <v>7</v>
      </c>
      <c r="AY30" s="253">
        <v>5</v>
      </c>
      <c r="AZ30" s="254" t="s">
        <v>410</v>
      </c>
      <c r="BA30" s="244">
        <v>6022</v>
      </c>
      <c r="BB30" s="242">
        <v>0.2887280049863355</v>
      </c>
      <c r="BC30" s="244">
        <v>660</v>
      </c>
      <c r="BD30" s="255">
        <v>3.1644052356523011E-2</v>
      </c>
    </row>
    <row r="31" spans="1:56" ht="17.100000000000001" customHeight="1">
      <c r="A31" s="239" t="s">
        <v>244</v>
      </c>
      <c r="B31" s="240">
        <v>21014</v>
      </c>
      <c r="C31" s="241">
        <v>1200</v>
      </c>
      <c r="D31" s="242">
        <v>9.4324791699418334E-2</v>
      </c>
      <c r="E31" s="243">
        <v>5196</v>
      </c>
      <c r="F31" s="242">
        <v>0.40842634805848138</v>
      </c>
      <c r="G31" s="241">
        <v>4359</v>
      </c>
      <c r="H31" s="242">
        <v>0.3426348058481371</v>
      </c>
      <c r="I31" s="241">
        <v>1210</v>
      </c>
      <c r="J31" s="242">
        <v>9.511083163024682E-2</v>
      </c>
      <c r="K31" s="241">
        <v>405</v>
      </c>
      <c r="L31" s="242">
        <v>3.183461719855369E-2</v>
      </c>
      <c r="M31" s="222"/>
      <c r="N31" s="223"/>
      <c r="O31" s="222"/>
      <c r="P31" s="223"/>
      <c r="Q31" s="222"/>
      <c r="R31" s="223"/>
      <c r="S31" s="222"/>
      <c r="T31" s="223"/>
      <c r="U31" s="241">
        <v>12</v>
      </c>
      <c r="V31" s="242">
        <v>9.4324791699418331E-4</v>
      </c>
      <c r="W31" s="244">
        <v>12382</v>
      </c>
      <c r="X31" s="242">
        <v>0.97327464235183148</v>
      </c>
      <c r="Y31" s="241">
        <v>340</v>
      </c>
      <c r="Z31" s="245">
        <v>2.6725357648168527E-2</v>
      </c>
      <c r="AA31" s="246">
        <v>12722</v>
      </c>
      <c r="AC31" s="247"/>
      <c r="AD31" s="248">
        <v>0</v>
      </c>
      <c r="AF31" s="247"/>
      <c r="AG31" s="248">
        <v>0</v>
      </c>
      <c r="AI31" s="240">
        <v>12722</v>
      </c>
      <c r="AJ31" s="248">
        <v>0.60540591986294856</v>
      </c>
      <c r="AL31" s="249" t="s">
        <v>410</v>
      </c>
      <c r="AM31" s="244">
        <v>5196</v>
      </c>
      <c r="AN31" s="250">
        <v>0.40842634805848138</v>
      </c>
      <c r="AO31" s="251">
        <v>4</v>
      </c>
      <c r="AP31" s="251">
        <v>1</v>
      </c>
      <c r="AQ31" s="251">
        <v>2</v>
      </c>
      <c r="AR31" s="251">
        <v>3</v>
      </c>
      <c r="AS31" s="251">
        <v>5</v>
      </c>
      <c r="AT31" s="252"/>
      <c r="AU31" s="252"/>
      <c r="AV31" s="252"/>
      <c r="AW31" s="252"/>
      <c r="AX31" s="253">
        <v>7</v>
      </c>
      <c r="AY31" s="253">
        <v>6</v>
      </c>
      <c r="AZ31" s="254" t="s">
        <v>10</v>
      </c>
      <c r="BA31" s="244">
        <v>4359</v>
      </c>
      <c r="BB31" s="242">
        <v>0.3426348058481371</v>
      </c>
      <c r="BC31" s="244">
        <v>837</v>
      </c>
      <c r="BD31" s="255">
        <v>6.5791542210344278E-2</v>
      </c>
    </row>
    <row r="32" spans="1:56" ht="17.100000000000001" customHeight="1">
      <c r="A32" s="239" t="s">
        <v>431</v>
      </c>
      <c r="B32" s="240">
        <v>208365</v>
      </c>
      <c r="C32" s="241">
        <v>34117</v>
      </c>
      <c r="D32" s="242">
        <v>0.2477398647912688</v>
      </c>
      <c r="E32" s="243">
        <v>61996</v>
      </c>
      <c r="F32" s="242">
        <v>0.45018262618634408</v>
      </c>
      <c r="G32" s="241">
        <v>25414</v>
      </c>
      <c r="H32" s="242">
        <v>0.18454321668978238</v>
      </c>
      <c r="I32" s="241">
        <v>3344</v>
      </c>
      <c r="J32" s="242">
        <v>2.4282384379107274E-2</v>
      </c>
      <c r="K32" s="241">
        <v>2738</v>
      </c>
      <c r="L32" s="242">
        <v>1.9881928358252306E-2</v>
      </c>
      <c r="M32" s="222"/>
      <c r="N32" s="223"/>
      <c r="O32" s="222"/>
      <c r="P32" s="223"/>
      <c r="Q32" s="222"/>
      <c r="R32" s="223"/>
      <c r="S32" s="222"/>
      <c r="T32" s="223"/>
      <c r="U32" s="241">
        <v>133</v>
      </c>
      <c r="V32" s="242">
        <v>9.6577665144176653E-4</v>
      </c>
      <c r="W32" s="244">
        <v>127742</v>
      </c>
      <c r="X32" s="242">
        <v>0.92759579705619655</v>
      </c>
      <c r="Y32" s="241">
        <v>6714</v>
      </c>
      <c r="Z32" s="245">
        <v>4.8753567201353543E-2</v>
      </c>
      <c r="AA32" s="246">
        <v>134456</v>
      </c>
      <c r="AC32" s="247">
        <v>3257</v>
      </c>
      <c r="AD32" s="248">
        <v>2.3650635742449879E-2</v>
      </c>
      <c r="AF32" s="247"/>
      <c r="AG32" s="248">
        <v>0</v>
      </c>
      <c r="AI32" s="240">
        <v>137713</v>
      </c>
      <c r="AJ32" s="248">
        <v>0.66092193986514047</v>
      </c>
      <c r="AL32" s="249" t="s">
        <v>410</v>
      </c>
      <c r="AM32" s="244">
        <v>61996</v>
      </c>
      <c r="AN32" s="250">
        <v>0.45018262618634408</v>
      </c>
      <c r="AO32" s="251">
        <v>2</v>
      </c>
      <c r="AP32" s="251">
        <v>1</v>
      </c>
      <c r="AQ32" s="251">
        <v>3</v>
      </c>
      <c r="AR32" s="251">
        <v>5</v>
      </c>
      <c r="AS32" s="251">
        <v>6</v>
      </c>
      <c r="AT32" s="252"/>
      <c r="AU32" s="252"/>
      <c r="AV32" s="252"/>
      <c r="AW32" s="252"/>
      <c r="AX32" s="253">
        <v>7</v>
      </c>
      <c r="AY32" s="253">
        <v>4</v>
      </c>
      <c r="AZ32" s="254" t="s">
        <v>7</v>
      </c>
      <c r="BA32" s="244">
        <v>34117</v>
      </c>
      <c r="BB32" s="242">
        <v>0.2477398647912688</v>
      </c>
      <c r="BC32" s="244">
        <v>27879</v>
      </c>
      <c r="BD32" s="255">
        <v>0.20244276139507528</v>
      </c>
    </row>
    <row r="33" spans="1:56" ht="17.100000000000001" customHeight="1">
      <c r="A33" s="239" t="s">
        <v>246</v>
      </c>
      <c r="B33" s="240">
        <v>23135</v>
      </c>
      <c r="C33" s="241">
        <v>7093</v>
      </c>
      <c r="D33" s="242">
        <v>0.42695479443809065</v>
      </c>
      <c r="E33" s="243">
        <v>6351</v>
      </c>
      <c r="F33" s="242">
        <v>0.38229097694576536</v>
      </c>
      <c r="G33" s="222"/>
      <c r="H33" s="223"/>
      <c r="I33" s="222"/>
      <c r="J33" s="223"/>
      <c r="K33" s="222"/>
      <c r="L33" s="223"/>
      <c r="M33" s="241">
        <v>2605</v>
      </c>
      <c r="N33" s="242">
        <v>0.15680491181604767</v>
      </c>
      <c r="O33" s="222"/>
      <c r="P33" s="223"/>
      <c r="Q33" s="222"/>
      <c r="R33" s="223"/>
      <c r="S33" s="222"/>
      <c r="T33" s="223"/>
      <c r="U33" s="241">
        <v>18</v>
      </c>
      <c r="V33" s="242">
        <v>1.0834888340456269E-3</v>
      </c>
      <c r="W33" s="244">
        <v>16067</v>
      </c>
      <c r="X33" s="242">
        <v>0.96713417203394936</v>
      </c>
      <c r="Y33" s="241">
        <v>546</v>
      </c>
      <c r="Z33" s="245">
        <v>3.2865827966050684E-2</v>
      </c>
      <c r="AA33" s="246">
        <v>16613</v>
      </c>
      <c r="AC33" s="247"/>
      <c r="AD33" s="248">
        <v>0</v>
      </c>
      <c r="AF33" s="247"/>
      <c r="AG33" s="248">
        <v>0</v>
      </c>
      <c r="AI33" s="240">
        <v>16613</v>
      </c>
      <c r="AJ33" s="248">
        <v>0.71808947482169871</v>
      </c>
      <c r="AL33" s="249" t="s">
        <v>7</v>
      </c>
      <c r="AM33" s="244">
        <v>7093</v>
      </c>
      <c r="AN33" s="250">
        <v>0.42695479443809065</v>
      </c>
      <c r="AO33" s="251">
        <v>1</v>
      </c>
      <c r="AP33" s="251">
        <v>2</v>
      </c>
      <c r="AQ33" s="252"/>
      <c r="AR33" s="252"/>
      <c r="AS33" s="252"/>
      <c r="AT33" s="251">
        <v>3</v>
      </c>
      <c r="AU33" s="252"/>
      <c r="AV33" s="252"/>
      <c r="AW33" s="252"/>
      <c r="AX33" s="253">
        <v>5</v>
      </c>
      <c r="AY33" s="253">
        <v>4</v>
      </c>
      <c r="AZ33" s="254" t="s">
        <v>410</v>
      </c>
      <c r="BA33" s="244">
        <v>6351</v>
      </c>
      <c r="BB33" s="242">
        <v>0.38229097694576536</v>
      </c>
      <c r="BC33" s="244">
        <v>742</v>
      </c>
      <c r="BD33" s="255">
        <v>4.4663817492325286E-2</v>
      </c>
    </row>
    <row r="34" spans="1:56" ht="17.100000000000001" customHeight="1">
      <c r="A34" s="239" t="s">
        <v>247</v>
      </c>
      <c r="B34" s="240">
        <v>9922</v>
      </c>
      <c r="C34" s="241">
        <v>1549</v>
      </c>
      <c r="D34" s="242">
        <v>0.20349448239621651</v>
      </c>
      <c r="E34" s="243">
        <v>2331</v>
      </c>
      <c r="F34" s="242">
        <v>0.30622700998423541</v>
      </c>
      <c r="G34" s="241">
        <v>1677</v>
      </c>
      <c r="H34" s="242">
        <v>0.22031003678402522</v>
      </c>
      <c r="I34" s="241">
        <v>1063</v>
      </c>
      <c r="J34" s="242">
        <v>0.13964792433000525</v>
      </c>
      <c r="K34" s="241">
        <v>788</v>
      </c>
      <c r="L34" s="242">
        <v>0.10352075669994745</v>
      </c>
      <c r="M34" s="222"/>
      <c r="N34" s="223"/>
      <c r="O34" s="222"/>
      <c r="P34" s="223"/>
      <c r="Q34" s="222"/>
      <c r="R34" s="223"/>
      <c r="S34" s="222"/>
      <c r="T34" s="223"/>
      <c r="U34" s="241">
        <v>5</v>
      </c>
      <c r="V34" s="242">
        <v>6.5685759327377825E-4</v>
      </c>
      <c r="W34" s="244">
        <v>7413</v>
      </c>
      <c r="X34" s="242">
        <v>0.97385706778770365</v>
      </c>
      <c r="Y34" s="241">
        <v>199</v>
      </c>
      <c r="Z34" s="245">
        <v>2.6142932212296376E-2</v>
      </c>
      <c r="AA34" s="246">
        <v>7612</v>
      </c>
      <c r="AC34" s="247"/>
      <c r="AD34" s="248">
        <v>0</v>
      </c>
      <c r="AF34" s="247"/>
      <c r="AG34" s="248">
        <v>0</v>
      </c>
      <c r="AI34" s="240">
        <v>7612</v>
      </c>
      <c r="AJ34" s="248">
        <v>0.76718403547671843</v>
      </c>
      <c r="AL34" s="249" t="s">
        <v>410</v>
      </c>
      <c r="AM34" s="244">
        <v>2331</v>
      </c>
      <c r="AN34" s="250">
        <v>0.30622700998423541</v>
      </c>
      <c r="AO34" s="251">
        <v>3</v>
      </c>
      <c r="AP34" s="251">
        <v>1</v>
      </c>
      <c r="AQ34" s="251">
        <v>2</v>
      </c>
      <c r="AR34" s="251">
        <v>4</v>
      </c>
      <c r="AS34" s="251">
        <v>5</v>
      </c>
      <c r="AT34" s="252"/>
      <c r="AU34" s="252"/>
      <c r="AV34" s="252"/>
      <c r="AW34" s="252"/>
      <c r="AX34" s="253">
        <v>7</v>
      </c>
      <c r="AY34" s="253">
        <v>6</v>
      </c>
      <c r="AZ34" s="254" t="s">
        <v>10</v>
      </c>
      <c r="BA34" s="244">
        <v>1677</v>
      </c>
      <c r="BB34" s="242">
        <v>0.22031003678402522</v>
      </c>
      <c r="BC34" s="244">
        <v>654</v>
      </c>
      <c r="BD34" s="255">
        <v>8.5916973200210189E-2</v>
      </c>
    </row>
    <row r="35" spans="1:56" ht="17.100000000000001" customHeight="1">
      <c r="A35" s="239" t="s">
        <v>248</v>
      </c>
      <c r="B35" s="240">
        <v>32204</v>
      </c>
      <c r="C35" s="241">
        <v>5606</v>
      </c>
      <c r="D35" s="242">
        <v>0.27677116761293508</v>
      </c>
      <c r="E35" s="243">
        <v>6600</v>
      </c>
      <c r="F35" s="242">
        <v>0.3258454702542582</v>
      </c>
      <c r="G35" s="241">
        <v>3175</v>
      </c>
      <c r="H35" s="242">
        <v>0.15675141940261664</v>
      </c>
      <c r="I35" s="222"/>
      <c r="J35" s="223"/>
      <c r="K35" s="222"/>
      <c r="L35" s="223"/>
      <c r="M35" s="222"/>
      <c r="N35" s="223"/>
      <c r="O35" s="222"/>
      <c r="P35" s="223"/>
      <c r="Q35" s="222"/>
      <c r="R35" s="223"/>
      <c r="S35" s="241">
        <v>3935</v>
      </c>
      <c r="T35" s="242">
        <v>0.19427301900765243</v>
      </c>
      <c r="U35" s="241">
        <v>21</v>
      </c>
      <c r="V35" s="242">
        <v>1.0367810417180943E-3</v>
      </c>
      <c r="W35" s="244">
        <v>19337</v>
      </c>
      <c r="X35" s="242">
        <v>0.95467785731918042</v>
      </c>
      <c r="Y35" s="241">
        <v>918</v>
      </c>
      <c r="Z35" s="245">
        <v>4.5322142680819549E-2</v>
      </c>
      <c r="AA35" s="246">
        <v>20255</v>
      </c>
      <c r="AC35" s="247"/>
      <c r="AD35" s="248">
        <v>0</v>
      </c>
      <c r="AF35" s="247"/>
      <c r="AG35" s="248">
        <v>0</v>
      </c>
      <c r="AI35" s="240">
        <v>20255</v>
      </c>
      <c r="AJ35" s="248">
        <v>0.6289591355111166</v>
      </c>
      <c r="AL35" s="249" t="s">
        <v>410</v>
      </c>
      <c r="AM35" s="244">
        <v>6600</v>
      </c>
      <c r="AN35" s="250">
        <v>0.3258454702542582</v>
      </c>
      <c r="AO35" s="251">
        <v>2</v>
      </c>
      <c r="AP35" s="251">
        <v>1</v>
      </c>
      <c r="AQ35" s="251">
        <v>4</v>
      </c>
      <c r="AR35" s="252"/>
      <c r="AS35" s="252"/>
      <c r="AT35" s="252"/>
      <c r="AU35" s="252"/>
      <c r="AV35" s="252"/>
      <c r="AW35" s="251">
        <v>3</v>
      </c>
      <c r="AX35" s="253">
        <v>6</v>
      </c>
      <c r="AY35" s="253">
        <v>5</v>
      </c>
      <c r="AZ35" s="254" t="s">
        <v>7</v>
      </c>
      <c r="BA35" s="244">
        <v>5606</v>
      </c>
      <c r="BB35" s="242">
        <v>0.27677116761293508</v>
      </c>
      <c r="BC35" s="244">
        <v>994</v>
      </c>
      <c r="BD35" s="255">
        <v>4.907430264132312E-2</v>
      </c>
    </row>
    <row r="36" spans="1:56" ht="17.100000000000001" customHeight="1">
      <c r="A36" s="239" t="s">
        <v>432</v>
      </c>
      <c r="B36" s="240">
        <v>63807</v>
      </c>
      <c r="C36" s="241">
        <v>9988</v>
      </c>
      <c r="D36" s="242">
        <v>0.23559382002594645</v>
      </c>
      <c r="E36" s="243">
        <v>16350</v>
      </c>
      <c r="F36" s="242">
        <v>0.38565868616582144</v>
      </c>
      <c r="G36" s="241">
        <v>11226</v>
      </c>
      <c r="H36" s="242">
        <v>0.26479537681330345</v>
      </c>
      <c r="I36" s="241">
        <v>2336</v>
      </c>
      <c r="J36" s="242">
        <v>5.5100837362896567E-2</v>
      </c>
      <c r="K36" s="241">
        <v>515</v>
      </c>
      <c r="L36" s="242">
        <v>1.2147658922042694E-2</v>
      </c>
      <c r="M36" s="222"/>
      <c r="N36" s="223"/>
      <c r="O36" s="222"/>
      <c r="P36" s="223"/>
      <c r="Q36" s="222"/>
      <c r="R36" s="223"/>
      <c r="S36" s="222"/>
      <c r="T36" s="223"/>
      <c r="U36" s="241">
        <v>64</v>
      </c>
      <c r="V36" s="242">
        <v>1.5096119825451114E-3</v>
      </c>
      <c r="W36" s="244">
        <v>40479</v>
      </c>
      <c r="X36" s="242">
        <v>0.95480599127255572</v>
      </c>
      <c r="Y36" s="241">
        <v>1916</v>
      </c>
      <c r="Z36" s="245">
        <v>4.5194008727444272E-2</v>
      </c>
      <c r="AA36" s="246">
        <v>42395</v>
      </c>
      <c r="AC36" s="247"/>
      <c r="AD36" s="248">
        <v>0</v>
      </c>
      <c r="AF36" s="247"/>
      <c r="AG36" s="248">
        <v>0</v>
      </c>
      <c r="AI36" s="240">
        <v>42395</v>
      </c>
      <c r="AJ36" s="248">
        <v>0.66442553324870313</v>
      </c>
      <c r="AL36" s="249" t="s">
        <v>410</v>
      </c>
      <c r="AM36" s="244">
        <v>16350</v>
      </c>
      <c r="AN36" s="250">
        <v>0.38565868616582144</v>
      </c>
      <c r="AO36" s="251">
        <v>3</v>
      </c>
      <c r="AP36" s="251">
        <v>1</v>
      </c>
      <c r="AQ36" s="251">
        <v>2</v>
      </c>
      <c r="AR36" s="251">
        <v>4</v>
      </c>
      <c r="AS36" s="251">
        <v>6</v>
      </c>
      <c r="AT36" s="252"/>
      <c r="AU36" s="252"/>
      <c r="AV36" s="252"/>
      <c r="AW36" s="252"/>
      <c r="AX36" s="253">
        <v>7</v>
      </c>
      <c r="AY36" s="253">
        <v>5</v>
      </c>
      <c r="AZ36" s="254" t="s">
        <v>10</v>
      </c>
      <c r="BA36" s="244">
        <v>11226</v>
      </c>
      <c r="BB36" s="242">
        <v>0.26479537681330345</v>
      </c>
      <c r="BC36" s="244">
        <v>5124</v>
      </c>
      <c r="BD36" s="255">
        <v>0.12086330935251799</v>
      </c>
    </row>
    <row r="37" spans="1:56" ht="17.100000000000001" customHeight="1">
      <c r="A37" s="239" t="s">
        <v>433</v>
      </c>
      <c r="B37" s="240">
        <v>370446</v>
      </c>
      <c r="C37" s="260">
        <v>72921</v>
      </c>
      <c r="D37" s="242">
        <v>0.29552463819802149</v>
      </c>
      <c r="E37" s="261">
        <v>97956</v>
      </c>
      <c r="F37" s="242">
        <v>0.39698319358381529</v>
      </c>
      <c r="G37" s="241">
        <v>45684</v>
      </c>
      <c r="H37" s="242">
        <v>0.1851421068202358</v>
      </c>
      <c r="I37" s="241">
        <v>8638</v>
      </c>
      <c r="J37" s="242">
        <v>3.5006950326442444E-2</v>
      </c>
      <c r="K37" s="241">
        <v>4944</v>
      </c>
      <c r="L37" s="242">
        <v>2.0036392962946452E-2</v>
      </c>
      <c r="M37" s="262"/>
      <c r="N37" s="223"/>
      <c r="O37" s="222"/>
      <c r="P37" s="223"/>
      <c r="Q37" s="222"/>
      <c r="R37" s="223"/>
      <c r="S37" s="222"/>
      <c r="T37" s="223"/>
      <c r="U37" s="241">
        <v>229</v>
      </c>
      <c r="V37" s="242">
        <v>9.2806108181932398E-4</v>
      </c>
      <c r="W37" s="244">
        <v>230372</v>
      </c>
      <c r="X37" s="242">
        <v>0.93362134297328081</v>
      </c>
      <c r="Y37" s="260">
        <v>14592</v>
      </c>
      <c r="Z37" s="245">
        <v>5.913653845374487E-2</v>
      </c>
      <c r="AA37" s="263">
        <v>244964</v>
      </c>
      <c r="AC37" s="247">
        <v>1787</v>
      </c>
      <c r="AD37" s="248">
        <v>7.2421185729743751E-3</v>
      </c>
      <c r="AF37" s="247"/>
      <c r="AG37" s="248">
        <v>0</v>
      </c>
      <c r="AI37" s="264">
        <v>246751</v>
      </c>
      <c r="AJ37" s="248">
        <v>0.66609168407811126</v>
      </c>
      <c r="AL37" s="249" t="s">
        <v>410</v>
      </c>
      <c r="AM37" s="244">
        <v>97956</v>
      </c>
      <c r="AN37" s="250">
        <v>0.39698319358381529</v>
      </c>
      <c r="AO37" s="251">
        <v>2</v>
      </c>
      <c r="AP37" s="251">
        <v>1</v>
      </c>
      <c r="AQ37" s="251">
        <v>3</v>
      </c>
      <c r="AR37" s="251">
        <v>5</v>
      </c>
      <c r="AS37" s="251">
        <v>6</v>
      </c>
      <c r="AT37" s="252"/>
      <c r="AU37" s="252"/>
      <c r="AV37" s="252"/>
      <c r="AW37" s="252"/>
      <c r="AX37" s="253">
        <v>7</v>
      </c>
      <c r="AY37" s="253">
        <v>4</v>
      </c>
      <c r="AZ37" s="254" t="s">
        <v>7</v>
      </c>
      <c r="BA37" s="244">
        <v>72921</v>
      </c>
      <c r="BB37" s="242">
        <v>0.29552463819802149</v>
      </c>
      <c r="BC37" s="244">
        <v>25035</v>
      </c>
      <c r="BD37" s="255">
        <v>0.10145855538579379</v>
      </c>
    </row>
    <row r="38" spans="1:56" ht="17.100000000000001" customHeight="1">
      <c r="A38" s="239" t="s">
        <v>434</v>
      </c>
      <c r="B38" s="265">
        <v>189088</v>
      </c>
      <c r="C38" s="241">
        <v>13381</v>
      </c>
      <c r="D38" s="266">
        <v>0.11624129124172559</v>
      </c>
      <c r="E38" s="243">
        <v>42353</v>
      </c>
      <c r="F38" s="266">
        <v>0.3679222336118978</v>
      </c>
      <c r="G38" s="241">
        <v>26238</v>
      </c>
      <c r="H38" s="242">
        <v>0.22793057317094359</v>
      </c>
      <c r="I38" s="241">
        <v>3060</v>
      </c>
      <c r="J38" s="242">
        <v>2.6582344458536755E-2</v>
      </c>
      <c r="K38" s="241">
        <v>21245</v>
      </c>
      <c r="L38" s="245">
        <v>0.18455617909203051</v>
      </c>
      <c r="M38" s="222"/>
      <c r="N38" s="267"/>
      <c r="O38" s="222"/>
      <c r="P38" s="223"/>
      <c r="Q38" s="222"/>
      <c r="R38" s="223"/>
      <c r="S38" s="222"/>
      <c r="T38" s="223"/>
      <c r="U38" s="241">
        <v>100</v>
      </c>
      <c r="V38" s="242">
        <v>8.6870406727244292E-4</v>
      </c>
      <c r="W38" s="244">
        <v>106377</v>
      </c>
      <c r="X38" s="245">
        <v>0.92410132564240666</v>
      </c>
      <c r="Y38" s="241">
        <v>7943</v>
      </c>
      <c r="Z38" s="266">
        <v>6.9001164063450152E-2</v>
      </c>
      <c r="AA38" s="246">
        <v>114320</v>
      </c>
      <c r="AC38" s="247">
        <v>794</v>
      </c>
      <c r="AD38" s="248">
        <v>6.8975102941431976E-3</v>
      </c>
      <c r="AF38" s="247"/>
      <c r="AG38" s="248">
        <v>0</v>
      </c>
      <c r="AI38" s="240">
        <v>115114</v>
      </c>
      <c r="AJ38" s="268">
        <v>0.60878532746657643</v>
      </c>
      <c r="AL38" s="249" t="s">
        <v>410</v>
      </c>
      <c r="AM38" s="244">
        <v>42353</v>
      </c>
      <c r="AN38" s="250">
        <v>0.3679222336118978</v>
      </c>
      <c r="AO38" s="251">
        <v>4</v>
      </c>
      <c r="AP38" s="251">
        <v>1</v>
      </c>
      <c r="AQ38" s="251">
        <v>2</v>
      </c>
      <c r="AR38" s="251">
        <v>6</v>
      </c>
      <c r="AS38" s="251">
        <v>3</v>
      </c>
      <c r="AT38" s="252"/>
      <c r="AU38" s="252"/>
      <c r="AV38" s="252"/>
      <c r="AW38" s="252"/>
      <c r="AX38" s="253">
        <v>7</v>
      </c>
      <c r="AY38" s="253">
        <v>5</v>
      </c>
      <c r="AZ38" s="254" t="s">
        <v>10</v>
      </c>
      <c r="BA38" s="244">
        <v>26238</v>
      </c>
      <c r="BB38" s="256">
        <v>0.22793057317094359</v>
      </c>
      <c r="BC38" s="244">
        <v>16115</v>
      </c>
      <c r="BD38" s="255">
        <v>0.13999166044095421</v>
      </c>
    </row>
    <row r="39" spans="1:56" ht="17.100000000000001" customHeight="1">
      <c r="A39" s="239" t="s">
        <v>252</v>
      </c>
      <c r="B39" s="240">
        <v>17960</v>
      </c>
      <c r="C39" s="269">
        <v>7799</v>
      </c>
      <c r="D39" s="242">
        <v>0.54883884588318088</v>
      </c>
      <c r="E39" s="270">
        <v>5519</v>
      </c>
      <c r="F39" s="242">
        <v>0.38838845883180856</v>
      </c>
      <c r="G39" s="241">
        <v>259</v>
      </c>
      <c r="H39" s="242">
        <v>1.8226600985221674E-2</v>
      </c>
      <c r="I39" s="241">
        <v>141</v>
      </c>
      <c r="J39" s="242">
        <v>9.9225897255453901E-3</v>
      </c>
      <c r="K39" s="222"/>
      <c r="L39" s="223"/>
      <c r="M39" s="271"/>
      <c r="N39" s="223"/>
      <c r="O39" s="222"/>
      <c r="P39" s="223"/>
      <c r="Q39" s="222"/>
      <c r="R39" s="223"/>
      <c r="S39" s="222"/>
      <c r="T39" s="223"/>
      <c r="U39" s="241">
        <v>5</v>
      </c>
      <c r="V39" s="242">
        <v>3.5186488388458831E-4</v>
      </c>
      <c r="W39" s="244">
        <v>13723</v>
      </c>
      <c r="X39" s="242">
        <v>0.96572836030964104</v>
      </c>
      <c r="Y39" s="269">
        <v>487</v>
      </c>
      <c r="Z39" s="245">
        <v>3.4271639690358902E-2</v>
      </c>
      <c r="AA39" s="272">
        <v>14210</v>
      </c>
      <c r="AC39" s="247"/>
      <c r="AD39" s="248">
        <v>0</v>
      </c>
      <c r="AF39" s="247"/>
      <c r="AG39" s="248">
        <v>0</v>
      </c>
      <c r="AI39" s="273">
        <v>14210</v>
      </c>
      <c r="AJ39" s="248">
        <v>0.79120267260579069</v>
      </c>
      <c r="AL39" s="249" t="s">
        <v>7</v>
      </c>
      <c r="AM39" s="244">
        <v>7799</v>
      </c>
      <c r="AN39" s="250">
        <v>0.54883884588318088</v>
      </c>
      <c r="AO39" s="251">
        <v>1</v>
      </c>
      <c r="AP39" s="251">
        <v>2</v>
      </c>
      <c r="AQ39" s="251">
        <v>4</v>
      </c>
      <c r="AR39" s="251">
        <v>5</v>
      </c>
      <c r="AS39" s="252"/>
      <c r="AT39" s="252"/>
      <c r="AU39" s="252"/>
      <c r="AV39" s="252"/>
      <c r="AW39" s="252"/>
      <c r="AX39" s="253">
        <v>6</v>
      </c>
      <c r="AY39" s="253">
        <v>3</v>
      </c>
      <c r="AZ39" s="254" t="s">
        <v>410</v>
      </c>
      <c r="BA39" s="244">
        <v>5519</v>
      </c>
      <c r="BB39" s="256">
        <v>0.38838845883180856</v>
      </c>
      <c r="BC39" s="244">
        <v>2280</v>
      </c>
      <c r="BD39" s="255">
        <v>0.16045038705137232</v>
      </c>
    </row>
    <row r="40" spans="1:56" ht="17.100000000000001" customHeight="1">
      <c r="A40" s="239" t="s">
        <v>253</v>
      </c>
      <c r="B40" s="240">
        <v>5843</v>
      </c>
      <c r="C40" s="241">
        <v>650</v>
      </c>
      <c r="D40" s="242">
        <v>0.1446051167964405</v>
      </c>
      <c r="E40" s="243">
        <v>1793</v>
      </c>
      <c r="F40" s="242">
        <v>0.39888765294771966</v>
      </c>
      <c r="G40" s="241">
        <v>482</v>
      </c>
      <c r="H40" s="242">
        <v>0.10723025583982203</v>
      </c>
      <c r="I40" s="241">
        <v>1432</v>
      </c>
      <c r="J40" s="242">
        <v>0.31857619577308122</v>
      </c>
      <c r="K40" s="222"/>
      <c r="L40" s="223"/>
      <c r="M40" s="222"/>
      <c r="N40" s="223"/>
      <c r="O40" s="222"/>
      <c r="P40" s="223"/>
      <c r="Q40" s="222"/>
      <c r="R40" s="223"/>
      <c r="S40" s="222"/>
      <c r="T40" s="223"/>
      <c r="U40" s="241">
        <v>3</v>
      </c>
      <c r="V40" s="242">
        <v>6.6740823136818685E-4</v>
      </c>
      <c r="W40" s="244">
        <v>4360</v>
      </c>
      <c r="X40" s="242">
        <v>0.96996662958843161</v>
      </c>
      <c r="Y40" s="241">
        <v>135</v>
      </c>
      <c r="Z40" s="245">
        <v>3.0033370411568408E-2</v>
      </c>
      <c r="AA40" s="246">
        <v>4495</v>
      </c>
      <c r="AC40" s="247"/>
      <c r="AD40" s="248">
        <v>0</v>
      </c>
      <c r="AF40" s="247"/>
      <c r="AG40" s="248">
        <v>0</v>
      </c>
      <c r="AI40" s="240">
        <v>4495</v>
      </c>
      <c r="AJ40" s="248">
        <v>0.76929659421530039</v>
      </c>
      <c r="AL40" s="249" t="s">
        <v>410</v>
      </c>
      <c r="AM40" s="244">
        <v>1793</v>
      </c>
      <c r="AN40" s="250">
        <v>0.39888765294771966</v>
      </c>
      <c r="AO40" s="251">
        <v>3</v>
      </c>
      <c r="AP40" s="251">
        <v>1</v>
      </c>
      <c r="AQ40" s="251">
        <v>4</v>
      </c>
      <c r="AR40" s="251">
        <v>2</v>
      </c>
      <c r="AS40" s="252"/>
      <c r="AT40" s="252"/>
      <c r="AU40" s="252"/>
      <c r="AV40" s="252"/>
      <c r="AW40" s="252"/>
      <c r="AX40" s="253">
        <v>6</v>
      </c>
      <c r="AY40" s="253">
        <v>5</v>
      </c>
      <c r="AZ40" s="254" t="s">
        <v>11</v>
      </c>
      <c r="BA40" s="244">
        <v>1432</v>
      </c>
      <c r="BB40" s="242">
        <v>0.31857619577308122</v>
      </c>
      <c r="BC40" s="244">
        <v>361</v>
      </c>
      <c r="BD40" s="255">
        <v>8.0311457174638445E-2</v>
      </c>
    </row>
    <row r="41" spans="1:56" ht="17.100000000000001" customHeight="1">
      <c r="A41" s="239" t="s">
        <v>254</v>
      </c>
      <c r="B41" s="240">
        <v>17438</v>
      </c>
      <c r="C41" s="241">
        <v>740</v>
      </c>
      <c r="D41" s="242">
        <v>5.6561950622945806E-2</v>
      </c>
      <c r="E41" s="243">
        <v>6381</v>
      </c>
      <c r="F41" s="242">
        <v>0.48773217152029352</v>
      </c>
      <c r="G41" s="241">
        <v>1271</v>
      </c>
      <c r="H41" s="242">
        <v>9.7148971948329887E-2</v>
      </c>
      <c r="I41" s="222"/>
      <c r="J41" s="223"/>
      <c r="K41" s="222"/>
      <c r="L41" s="223"/>
      <c r="M41" s="222"/>
      <c r="N41" s="223"/>
      <c r="O41" s="222"/>
      <c r="P41" s="223"/>
      <c r="Q41" s="222"/>
      <c r="R41" s="223"/>
      <c r="S41" s="241">
        <v>4218</v>
      </c>
      <c r="T41" s="242">
        <v>0.32240311855079112</v>
      </c>
      <c r="U41" s="241">
        <v>2</v>
      </c>
      <c r="V41" s="242">
        <v>1.5287013681877245E-4</v>
      </c>
      <c r="W41" s="244">
        <v>12612</v>
      </c>
      <c r="X41" s="242">
        <v>0.96399908277917912</v>
      </c>
      <c r="Y41" s="241">
        <v>471</v>
      </c>
      <c r="Z41" s="245">
        <v>3.6000917220820911E-2</v>
      </c>
      <c r="AA41" s="246">
        <v>13083</v>
      </c>
      <c r="AC41" s="247"/>
      <c r="AD41" s="248">
        <v>0</v>
      </c>
      <c r="AF41" s="247"/>
      <c r="AG41" s="248">
        <v>0</v>
      </c>
      <c r="AI41" s="240">
        <v>13083</v>
      </c>
      <c r="AJ41" s="248">
        <v>0.75025805711664184</v>
      </c>
      <c r="AL41" s="249" t="s">
        <v>410</v>
      </c>
      <c r="AM41" s="244">
        <v>6381</v>
      </c>
      <c r="AN41" s="250">
        <v>0.48773217152029352</v>
      </c>
      <c r="AO41" s="251">
        <v>4</v>
      </c>
      <c r="AP41" s="251">
        <v>1</v>
      </c>
      <c r="AQ41" s="251">
        <v>3</v>
      </c>
      <c r="AR41" s="252"/>
      <c r="AS41" s="252"/>
      <c r="AT41" s="252"/>
      <c r="AU41" s="252"/>
      <c r="AV41" s="252"/>
      <c r="AW41" s="251">
        <v>2</v>
      </c>
      <c r="AX41" s="253">
        <v>6</v>
      </c>
      <c r="AY41" s="253">
        <v>5</v>
      </c>
      <c r="AZ41" s="254" t="s">
        <v>425</v>
      </c>
      <c r="BA41" s="244">
        <v>4218</v>
      </c>
      <c r="BB41" s="242">
        <v>0.32240311855079112</v>
      </c>
      <c r="BC41" s="244">
        <v>2163</v>
      </c>
      <c r="BD41" s="255">
        <v>0.1653290529695024</v>
      </c>
    </row>
    <row r="42" spans="1:56" ht="17.100000000000001" customHeight="1">
      <c r="A42" s="239" t="s">
        <v>435</v>
      </c>
      <c r="B42" s="240">
        <v>123133</v>
      </c>
      <c r="C42" s="241">
        <v>3278</v>
      </c>
      <c r="D42" s="242">
        <v>4.9174917491749175E-2</v>
      </c>
      <c r="E42" s="243">
        <v>26409</v>
      </c>
      <c r="F42" s="242">
        <v>0.39617461746174615</v>
      </c>
      <c r="G42" s="241">
        <v>23061</v>
      </c>
      <c r="H42" s="242">
        <v>0.34594959495949595</v>
      </c>
      <c r="I42" s="241">
        <v>1352</v>
      </c>
      <c r="J42" s="242">
        <v>2.0282028202820282E-2</v>
      </c>
      <c r="K42" s="241">
        <v>6271</v>
      </c>
      <c r="L42" s="242">
        <v>9.4074407440744079E-2</v>
      </c>
      <c r="M42" s="222"/>
      <c r="N42" s="223"/>
      <c r="O42" s="222"/>
      <c r="P42" s="223"/>
      <c r="Q42" s="222"/>
      <c r="R42" s="223"/>
      <c r="S42" s="222"/>
      <c r="T42" s="223"/>
      <c r="U42" s="241">
        <v>123</v>
      </c>
      <c r="V42" s="242">
        <v>1.8451845184518452E-3</v>
      </c>
      <c r="W42" s="244">
        <v>60494</v>
      </c>
      <c r="X42" s="242">
        <v>0.90750075007500752</v>
      </c>
      <c r="Y42" s="241">
        <v>3637</v>
      </c>
      <c r="Z42" s="245">
        <v>5.4560456045604562E-2</v>
      </c>
      <c r="AA42" s="246">
        <v>64131</v>
      </c>
      <c r="AC42" s="247">
        <v>2529</v>
      </c>
      <c r="AD42" s="248">
        <v>3.7938793879387936E-2</v>
      </c>
      <c r="AF42" s="247"/>
      <c r="AG42" s="248">
        <v>0</v>
      </c>
      <c r="AI42" s="240">
        <v>66660</v>
      </c>
      <c r="AJ42" s="248">
        <v>0.54136584018906386</v>
      </c>
      <c r="AL42" s="249" t="s">
        <v>410</v>
      </c>
      <c r="AM42" s="244">
        <v>26409</v>
      </c>
      <c r="AN42" s="250">
        <v>0.39617461746174615</v>
      </c>
      <c r="AO42" s="251">
        <v>5</v>
      </c>
      <c r="AP42" s="251">
        <v>1</v>
      </c>
      <c r="AQ42" s="251">
        <v>2</v>
      </c>
      <c r="AR42" s="251">
        <v>6</v>
      </c>
      <c r="AS42" s="251">
        <v>3</v>
      </c>
      <c r="AT42" s="252"/>
      <c r="AU42" s="252"/>
      <c r="AV42" s="252"/>
      <c r="AW42" s="252"/>
      <c r="AX42" s="253">
        <v>7</v>
      </c>
      <c r="AY42" s="253">
        <v>4</v>
      </c>
      <c r="AZ42" s="254" t="s">
        <v>10</v>
      </c>
      <c r="BA42" s="244">
        <v>23061</v>
      </c>
      <c r="BB42" s="256">
        <v>0.34594959495949595</v>
      </c>
      <c r="BC42" s="244">
        <v>3348</v>
      </c>
      <c r="BD42" s="255">
        <v>5.0225022502250194E-2</v>
      </c>
    </row>
    <row r="43" spans="1:56" ht="17.100000000000001" customHeight="1">
      <c r="A43" s="239" t="s">
        <v>257</v>
      </c>
      <c r="B43" s="240">
        <v>15661</v>
      </c>
      <c r="C43" s="241">
        <v>2758</v>
      </c>
      <c r="D43" s="242">
        <v>0.24528637495553185</v>
      </c>
      <c r="E43" s="243">
        <v>2315</v>
      </c>
      <c r="F43" s="242">
        <v>0.2058875844895055</v>
      </c>
      <c r="G43" s="241">
        <v>2365</v>
      </c>
      <c r="H43" s="242">
        <v>0.21033440056919245</v>
      </c>
      <c r="I43" s="241">
        <v>2451</v>
      </c>
      <c r="J43" s="242">
        <v>0.21798292422625401</v>
      </c>
      <c r="K43" s="241">
        <v>945</v>
      </c>
      <c r="L43" s="242">
        <v>8.4044823906083241E-2</v>
      </c>
      <c r="M43" s="222"/>
      <c r="N43" s="223"/>
      <c r="O43" s="222"/>
      <c r="P43" s="223"/>
      <c r="Q43" s="222"/>
      <c r="R43" s="223"/>
      <c r="S43" s="222"/>
      <c r="T43" s="223"/>
      <c r="U43" s="241">
        <v>10</v>
      </c>
      <c r="V43" s="242">
        <v>8.8936321593738885E-4</v>
      </c>
      <c r="W43" s="244">
        <v>10844</v>
      </c>
      <c r="X43" s="242">
        <v>0.96442547136250445</v>
      </c>
      <c r="Y43" s="241">
        <v>400</v>
      </c>
      <c r="Z43" s="245">
        <v>3.557452863749555E-2</v>
      </c>
      <c r="AA43" s="246">
        <v>11244</v>
      </c>
      <c r="AC43" s="247"/>
      <c r="AD43" s="248">
        <v>0</v>
      </c>
      <c r="AF43" s="247"/>
      <c r="AG43" s="248">
        <v>0</v>
      </c>
      <c r="AI43" s="240">
        <v>11244</v>
      </c>
      <c r="AJ43" s="248">
        <v>0.71796181597599129</v>
      </c>
      <c r="AL43" s="249" t="s">
        <v>7</v>
      </c>
      <c r="AM43" s="244">
        <v>2758</v>
      </c>
      <c r="AN43" s="250">
        <v>0.24528637495553185</v>
      </c>
      <c r="AO43" s="251">
        <v>1</v>
      </c>
      <c r="AP43" s="251">
        <v>4</v>
      </c>
      <c r="AQ43" s="251">
        <v>3</v>
      </c>
      <c r="AR43" s="251">
        <v>2</v>
      </c>
      <c r="AS43" s="251">
        <v>5</v>
      </c>
      <c r="AT43" s="252"/>
      <c r="AU43" s="252"/>
      <c r="AV43" s="252"/>
      <c r="AW43" s="252"/>
      <c r="AX43" s="253">
        <v>7</v>
      </c>
      <c r="AY43" s="253">
        <v>6</v>
      </c>
      <c r="AZ43" s="254" t="s">
        <v>11</v>
      </c>
      <c r="BA43" s="244">
        <v>2451</v>
      </c>
      <c r="BB43" s="242">
        <v>0.21798292422625401</v>
      </c>
      <c r="BC43" s="244">
        <v>307</v>
      </c>
      <c r="BD43" s="255">
        <v>2.7303450729277839E-2</v>
      </c>
    </row>
    <row r="44" spans="1:56" ht="17.100000000000001" customHeight="1">
      <c r="A44" s="239" t="s">
        <v>258</v>
      </c>
      <c r="B44" s="240">
        <v>374249</v>
      </c>
      <c r="C44" s="241">
        <v>20773</v>
      </c>
      <c r="D44" s="242">
        <v>9.7630327298704717E-2</v>
      </c>
      <c r="E44" s="243">
        <v>104579</v>
      </c>
      <c r="F44" s="242">
        <v>0.49150734119151018</v>
      </c>
      <c r="G44" s="241">
        <v>58509</v>
      </c>
      <c r="H44" s="242">
        <v>0.27498449044047146</v>
      </c>
      <c r="I44" s="241">
        <v>5786</v>
      </c>
      <c r="J44" s="242">
        <v>2.7193427706653131E-2</v>
      </c>
      <c r="K44" s="241">
        <v>4609</v>
      </c>
      <c r="L44" s="242">
        <v>2.1661684808151449E-2</v>
      </c>
      <c r="M44" s="222"/>
      <c r="N44" s="223"/>
      <c r="O44" s="222"/>
      <c r="P44" s="223"/>
      <c r="Q44" s="222"/>
      <c r="R44" s="223"/>
      <c r="S44" s="222"/>
      <c r="T44" s="223"/>
      <c r="U44" s="241">
        <v>640</v>
      </c>
      <c r="V44" s="242">
        <v>3.0079145752260634E-3</v>
      </c>
      <c r="W44" s="244">
        <v>194896</v>
      </c>
      <c r="X44" s="242">
        <v>0.91598518602071699</v>
      </c>
      <c r="Y44" s="241">
        <v>17876</v>
      </c>
      <c r="Z44" s="245">
        <v>8.4014813979282982E-2</v>
      </c>
      <c r="AA44" s="246">
        <v>212772</v>
      </c>
      <c r="AC44" s="247"/>
      <c r="AD44" s="248">
        <v>0</v>
      </c>
      <c r="AF44" s="247"/>
      <c r="AG44" s="248">
        <v>0</v>
      </c>
      <c r="AI44" s="240">
        <v>212772</v>
      </c>
      <c r="AJ44" s="248">
        <v>0.5685305772360113</v>
      </c>
      <c r="AL44" s="249" t="s">
        <v>410</v>
      </c>
      <c r="AM44" s="244">
        <v>104579</v>
      </c>
      <c r="AN44" s="250">
        <v>0.49150734119151018</v>
      </c>
      <c r="AO44" s="251">
        <v>3</v>
      </c>
      <c r="AP44" s="251">
        <v>1</v>
      </c>
      <c r="AQ44" s="251">
        <v>2</v>
      </c>
      <c r="AR44" s="251">
        <v>5</v>
      </c>
      <c r="AS44" s="251">
        <v>6</v>
      </c>
      <c r="AT44" s="252"/>
      <c r="AU44" s="252"/>
      <c r="AV44" s="252"/>
      <c r="AW44" s="252"/>
      <c r="AX44" s="253">
        <v>7</v>
      </c>
      <c r="AY44" s="253">
        <v>4</v>
      </c>
      <c r="AZ44" s="254" t="s">
        <v>10</v>
      </c>
      <c r="BA44" s="244">
        <v>58509</v>
      </c>
      <c r="BB44" s="256">
        <v>0.27498449044047146</v>
      </c>
      <c r="BC44" s="244">
        <v>46070</v>
      </c>
      <c r="BD44" s="255">
        <v>0.21652285075103872</v>
      </c>
    </row>
    <row r="45" spans="1:56" ht="17.100000000000001" customHeight="1">
      <c r="A45" s="239" t="s">
        <v>259</v>
      </c>
      <c r="B45" s="240">
        <v>19970</v>
      </c>
      <c r="C45" s="241">
        <v>4472</v>
      </c>
      <c r="D45" s="242">
        <v>0.27635644543319737</v>
      </c>
      <c r="E45" s="243">
        <v>5786</v>
      </c>
      <c r="F45" s="242">
        <v>0.35755778024966012</v>
      </c>
      <c r="G45" s="222"/>
      <c r="H45" s="223"/>
      <c r="I45" s="222"/>
      <c r="J45" s="223"/>
      <c r="K45" s="222"/>
      <c r="L45" s="223"/>
      <c r="M45" s="222"/>
      <c r="N45" s="223"/>
      <c r="O45" s="241">
        <v>5332</v>
      </c>
      <c r="P45" s="242">
        <v>0.32950191570881227</v>
      </c>
      <c r="Q45" s="222"/>
      <c r="R45" s="223"/>
      <c r="S45" s="222"/>
      <c r="T45" s="223"/>
      <c r="U45" s="241">
        <v>10</v>
      </c>
      <c r="V45" s="242">
        <v>6.1797058460017298E-4</v>
      </c>
      <c r="W45" s="244">
        <v>15600</v>
      </c>
      <c r="X45" s="242">
        <v>0.96403411197626998</v>
      </c>
      <c r="Y45" s="260">
        <v>582</v>
      </c>
      <c r="Z45" s="245">
        <v>3.5965888023730068E-2</v>
      </c>
      <c r="AA45" s="263">
        <v>16182</v>
      </c>
      <c r="AC45" s="247"/>
      <c r="AD45" s="248">
        <v>0</v>
      </c>
      <c r="AF45" s="247"/>
      <c r="AG45" s="248">
        <v>0</v>
      </c>
      <c r="AI45" s="240">
        <v>16182</v>
      </c>
      <c r="AJ45" s="248">
        <v>0.81031547320981467</v>
      </c>
      <c r="AL45" s="249" t="s">
        <v>410</v>
      </c>
      <c r="AM45" s="244">
        <v>5786</v>
      </c>
      <c r="AN45" s="250">
        <v>0.35755778024966012</v>
      </c>
      <c r="AO45" s="251">
        <v>3</v>
      </c>
      <c r="AP45" s="251">
        <v>1</v>
      </c>
      <c r="AQ45" s="252"/>
      <c r="AR45" s="252"/>
      <c r="AS45" s="252"/>
      <c r="AT45" s="252"/>
      <c r="AU45" s="251">
        <v>2</v>
      </c>
      <c r="AV45" s="252"/>
      <c r="AW45" s="252"/>
      <c r="AX45" s="253">
        <v>5</v>
      </c>
      <c r="AY45" s="253">
        <v>4</v>
      </c>
      <c r="AZ45" s="254" t="s">
        <v>256</v>
      </c>
      <c r="BA45" s="244">
        <v>5332</v>
      </c>
      <c r="BB45" s="242">
        <v>0.32950191570881227</v>
      </c>
      <c r="BC45" s="244">
        <v>454</v>
      </c>
      <c r="BD45" s="255">
        <v>2.8055864540847852E-2</v>
      </c>
    </row>
    <row r="46" spans="1:56" ht="17.100000000000001" customHeight="1">
      <c r="A46" s="239" t="s">
        <v>436</v>
      </c>
      <c r="B46" s="240">
        <v>1186569</v>
      </c>
      <c r="C46" s="241">
        <v>111154</v>
      </c>
      <c r="D46" s="242">
        <v>0.15234275955928409</v>
      </c>
      <c r="E46" s="243">
        <v>333230</v>
      </c>
      <c r="F46" s="242">
        <v>0.45671030973190557</v>
      </c>
      <c r="G46" s="222"/>
      <c r="H46" s="223"/>
      <c r="I46" s="222"/>
      <c r="J46" s="223"/>
      <c r="K46" s="222"/>
      <c r="L46" s="223"/>
      <c r="M46" s="241">
        <v>254745</v>
      </c>
      <c r="N46" s="242">
        <v>0.34914223765163488</v>
      </c>
      <c r="O46" s="222"/>
      <c r="P46" s="223"/>
      <c r="Q46" s="222"/>
      <c r="R46" s="223"/>
      <c r="S46" s="222"/>
      <c r="T46" s="223"/>
      <c r="U46" s="241">
        <v>729</v>
      </c>
      <c r="V46" s="242">
        <v>9.9913517928925722E-4</v>
      </c>
      <c r="W46" s="244">
        <v>699858</v>
      </c>
      <c r="X46" s="245">
        <v>0.9591944421221138</v>
      </c>
      <c r="Y46" s="241">
        <v>16833</v>
      </c>
      <c r="Z46" s="266">
        <v>2.3070565806551532E-2</v>
      </c>
      <c r="AA46" s="246">
        <v>716691</v>
      </c>
      <c r="AC46" s="247">
        <v>12940</v>
      </c>
      <c r="AD46" s="248">
        <v>1.773499207133469E-2</v>
      </c>
      <c r="AF46" s="247"/>
      <c r="AG46" s="248">
        <v>0</v>
      </c>
      <c r="AI46" s="240">
        <v>729631</v>
      </c>
      <c r="AJ46" s="248">
        <v>0.61490819328669466</v>
      </c>
      <c r="AL46" s="249" t="s">
        <v>410</v>
      </c>
      <c r="AM46" s="244">
        <v>333230</v>
      </c>
      <c r="AN46" s="250">
        <v>0.45671030973190557</v>
      </c>
      <c r="AO46" s="251">
        <v>3</v>
      </c>
      <c r="AP46" s="251">
        <v>1</v>
      </c>
      <c r="AQ46" s="252"/>
      <c r="AR46" s="252"/>
      <c r="AS46" s="252"/>
      <c r="AT46" s="251">
        <v>2</v>
      </c>
      <c r="AU46" s="252"/>
      <c r="AV46" s="252"/>
      <c r="AW46" s="252"/>
      <c r="AX46" s="253">
        <v>5</v>
      </c>
      <c r="AY46" s="253">
        <v>4</v>
      </c>
      <c r="AZ46" s="254" t="s">
        <v>412</v>
      </c>
      <c r="BA46" s="244">
        <v>254745</v>
      </c>
      <c r="BB46" s="256">
        <v>0.34914223765163488</v>
      </c>
      <c r="BC46" s="244">
        <v>78485</v>
      </c>
      <c r="BD46" s="255">
        <v>0.10756807208027069</v>
      </c>
    </row>
    <row r="47" spans="1:56" ht="17.100000000000001" customHeight="1">
      <c r="A47" s="239" t="s">
        <v>261</v>
      </c>
      <c r="B47" s="240">
        <v>5857</v>
      </c>
      <c r="C47" s="241">
        <v>1403</v>
      </c>
      <c r="D47" s="242">
        <v>0.32788034587520448</v>
      </c>
      <c r="E47" s="243">
        <v>1651</v>
      </c>
      <c r="F47" s="242">
        <v>0.38583781257303107</v>
      </c>
      <c r="G47" s="222"/>
      <c r="H47" s="223"/>
      <c r="I47" s="222"/>
      <c r="J47" s="223"/>
      <c r="K47" s="241">
        <v>656</v>
      </c>
      <c r="L47" s="242">
        <v>0.15330684739425099</v>
      </c>
      <c r="M47" s="222"/>
      <c r="N47" s="223"/>
      <c r="O47" s="241">
        <v>396</v>
      </c>
      <c r="P47" s="242">
        <v>9.2544987146529561E-2</v>
      </c>
      <c r="Q47" s="222"/>
      <c r="R47" s="223"/>
      <c r="S47" s="222"/>
      <c r="T47" s="223"/>
      <c r="U47" s="241">
        <v>3</v>
      </c>
      <c r="V47" s="242">
        <v>7.0109838747370876E-4</v>
      </c>
      <c r="W47" s="244">
        <v>4109</v>
      </c>
      <c r="X47" s="242">
        <v>0.9602710913764898</v>
      </c>
      <c r="Y47" s="269">
        <v>170</v>
      </c>
      <c r="Z47" s="245">
        <v>3.9728908623510167E-2</v>
      </c>
      <c r="AA47" s="272">
        <v>4279</v>
      </c>
      <c r="AC47" s="247"/>
      <c r="AD47" s="248">
        <v>0</v>
      </c>
      <c r="AF47" s="247"/>
      <c r="AG47" s="248">
        <v>0</v>
      </c>
      <c r="AI47" s="240">
        <v>4279</v>
      </c>
      <c r="AJ47" s="248">
        <v>0.73057879460474651</v>
      </c>
      <c r="AL47" s="249" t="s">
        <v>410</v>
      </c>
      <c r="AM47" s="244">
        <v>1651</v>
      </c>
      <c r="AN47" s="250">
        <v>0.38583781257303107</v>
      </c>
      <c r="AO47" s="251">
        <v>2</v>
      </c>
      <c r="AP47" s="251">
        <v>1</v>
      </c>
      <c r="AQ47" s="252"/>
      <c r="AR47" s="252"/>
      <c r="AS47" s="251">
        <v>3</v>
      </c>
      <c r="AT47" s="252"/>
      <c r="AU47" s="251">
        <v>4</v>
      </c>
      <c r="AV47" s="252"/>
      <c r="AW47" s="252"/>
      <c r="AX47" s="253">
        <v>6</v>
      </c>
      <c r="AY47" s="253">
        <v>5</v>
      </c>
      <c r="AZ47" s="254" t="s">
        <v>7</v>
      </c>
      <c r="BA47" s="244">
        <v>1403</v>
      </c>
      <c r="BB47" s="242">
        <v>0.32788034587520448</v>
      </c>
      <c r="BC47" s="244">
        <v>248</v>
      </c>
      <c r="BD47" s="255">
        <v>5.7957466697826587E-2</v>
      </c>
    </row>
    <row r="48" spans="1:56" ht="17.100000000000001" customHeight="1">
      <c r="A48" s="239" t="s">
        <v>437</v>
      </c>
      <c r="B48" s="240">
        <v>66314</v>
      </c>
      <c r="C48" s="241">
        <v>12880</v>
      </c>
      <c r="D48" s="242">
        <v>0.34521575984990621</v>
      </c>
      <c r="E48" s="243">
        <v>12769</v>
      </c>
      <c r="F48" s="242">
        <v>0.34224068614312519</v>
      </c>
      <c r="G48" s="222"/>
      <c r="H48" s="223"/>
      <c r="I48" s="222"/>
      <c r="J48" s="223"/>
      <c r="K48" s="222"/>
      <c r="L48" s="223"/>
      <c r="M48" s="241">
        <v>9237</v>
      </c>
      <c r="N48" s="242">
        <v>0.24757437684266953</v>
      </c>
      <c r="O48" s="222"/>
      <c r="P48" s="223"/>
      <c r="Q48" s="222"/>
      <c r="R48" s="223"/>
      <c r="S48" s="222"/>
      <c r="T48" s="223"/>
      <c r="U48" s="241">
        <v>46</v>
      </c>
      <c r="V48" s="242">
        <v>1.2329134280353793E-3</v>
      </c>
      <c r="W48" s="244">
        <v>34932</v>
      </c>
      <c r="X48" s="242">
        <v>0.93626373626373627</v>
      </c>
      <c r="Y48" s="241">
        <v>637</v>
      </c>
      <c r="Z48" s="245">
        <v>1.7073170731707318E-2</v>
      </c>
      <c r="AA48" s="246">
        <v>35569</v>
      </c>
      <c r="AC48" s="247">
        <v>1741</v>
      </c>
      <c r="AD48" s="248">
        <v>4.666309300455642E-2</v>
      </c>
      <c r="AF48" s="247"/>
      <c r="AG48" s="248">
        <v>0</v>
      </c>
      <c r="AI48" s="240">
        <v>37310</v>
      </c>
      <c r="AJ48" s="248">
        <v>0.56262629309044843</v>
      </c>
      <c r="AL48" s="249" t="s">
        <v>7</v>
      </c>
      <c r="AM48" s="244">
        <v>12880</v>
      </c>
      <c r="AN48" s="250">
        <v>0.34521575984990621</v>
      </c>
      <c r="AO48" s="251">
        <v>1</v>
      </c>
      <c r="AP48" s="251">
        <v>2</v>
      </c>
      <c r="AQ48" s="252"/>
      <c r="AR48" s="252"/>
      <c r="AS48" s="252"/>
      <c r="AT48" s="251">
        <v>3</v>
      </c>
      <c r="AU48" s="252"/>
      <c r="AV48" s="252"/>
      <c r="AW48" s="252"/>
      <c r="AX48" s="253">
        <v>5</v>
      </c>
      <c r="AY48" s="253">
        <v>4</v>
      </c>
      <c r="AZ48" s="254" t="s">
        <v>410</v>
      </c>
      <c r="BA48" s="244">
        <v>12769</v>
      </c>
      <c r="BB48" s="242">
        <v>0.34224068614312519</v>
      </c>
      <c r="BC48" s="244">
        <v>111</v>
      </c>
      <c r="BD48" s="255">
        <v>2.9750737067810173E-3</v>
      </c>
    </row>
    <row r="49" spans="1:56" ht="17.100000000000001" customHeight="1">
      <c r="A49" s="239" t="s">
        <v>263</v>
      </c>
      <c r="B49" s="240">
        <v>27809</v>
      </c>
      <c r="C49" s="241">
        <v>7934</v>
      </c>
      <c r="D49" s="242">
        <v>0.38638355897535792</v>
      </c>
      <c r="E49" s="243">
        <v>6721</v>
      </c>
      <c r="F49" s="242">
        <v>0.32731080159735071</v>
      </c>
      <c r="G49" s="241">
        <v>4587</v>
      </c>
      <c r="H49" s="242">
        <v>0.22338560436349469</v>
      </c>
      <c r="I49" s="241">
        <v>197</v>
      </c>
      <c r="J49" s="242">
        <v>9.593844355702737E-3</v>
      </c>
      <c r="K49" s="241">
        <v>149</v>
      </c>
      <c r="L49" s="242">
        <v>7.2562579137041006E-3</v>
      </c>
      <c r="M49" s="222"/>
      <c r="N49" s="223"/>
      <c r="O49" s="222"/>
      <c r="P49" s="223"/>
      <c r="Q49" s="222"/>
      <c r="R49" s="223"/>
      <c r="S49" s="222"/>
      <c r="T49" s="223"/>
      <c r="U49" s="241">
        <v>16</v>
      </c>
      <c r="V49" s="242">
        <v>7.7919548066621212E-4</v>
      </c>
      <c r="W49" s="244">
        <v>19604</v>
      </c>
      <c r="X49" s="242">
        <v>0.95470926268627643</v>
      </c>
      <c r="Y49" s="241">
        <v>930</v>
      </c>
      <c r="Z49" s="245">
        <v>4.5290737313723579E-2</v>
      </c>
      <c r="AA49" s="246">
        <v>20534</v>
      </c>
      <c r="AC49" s="247"/>
      <c r="AD49" s="248">
        <v>0</v>
      </c>
      <c r="AF49" s="247"/>
      <c r="AG49" s="248">
        <v>0</v>
      </c>
      <c r="AI49" s="240">
        <v>20534</v>
      </c>
      <c r="AJ49" s="248">
        <v>0.73839404509331508</v>
      </c>
      <c r="AL49" s="249" t="s">
        <v>7</v>
      </c>
      <c r="AM49" s="244">
        <v>7934</v>
      </c>
      <c r="AN49" s="250">
        <v>0.38638355897535792</v>
      </c>
      <c r="AO49" s="251">
        <v>1</v>
      </c>
      <c r="AP49" s="251">
        <v>2</v>
      </c>
      <c r="AQ49" s="251">
        <v>3</v>
      </c>
      <c r="AR49" s="251">
        <v>5</v>
      </c>
      <c r="AS49" s="251">
        <v>6</v>
      </c>
      <c r="AT49" s="252"/>
      <c r="AU49" s="252"/>
      <c r="AV49" s="252"/>
      <c r="AW49" s="252"/>
      <c r="AX49" s="253">
        <v>7</v>
      </c>
      <c r="AY49" s="253">
        <v>4</v>
      </c>
      <c r="AZ49" s="254" t="s">
        <v>410</v>
      </c>
      <c r="BA49" s="244">
        <v>6721</v>
      </c>
      <c r="BB49" s="256">
        <v>0.32731080159735071</v>
      </c>
      <c r="BC49" s="244">
        <v>1213</v>
      </c>
      <c r="BD49" s="255">
        <v>5.9072757378007212E-2</v>
      </c>
    </row>
    <row r="50" spans="1:56" ht="17.100000000000001" customHeight="1">
      <c r="A50" s="239" t="s">
        <v>438</v>
      </c>
      <c r="B50" s="240">
        <v>156304</v>
      </c>
      <c r="C50" s="241">
        <v>37409</v>
      </c>
      <c r="D50" s="242">
        <v>0.35945652487244284</v>
      </c>
      <c r="E50" s="243">
        <v>41248</v>
      </c>
      <c r="F50" s="242">
        <v>0.39634480306713687</v>
      </c>
      <c r="G50" s="241">
        <v>13355</v>
      </c>
      <c r="H50" s="242">
        <v>0.12832585446474043</v>
      </c>
      <c r="I50" s="241">
        <v>3644</v>
      </c>
      <c r="J50" s="242">
        <v>3.5014557369488136E-2</v>
      </c>
      <c r="K50" s="241">
        <v>1316</v>
      </c>
      <c r="L50" s="242">
        <v>1.2645213363953455E-2</v>
      </c>
      <c r="M50" s="222"/>
      <c r="N50" s="223"/>
      <c r="O50" s="222"/>
      <c r="P50" s="223"/>
      <c r="Q50" s="222"/>
      <c r="R50" s="223"/>
      <c r="S50" s="222"/>
      <c r="T50" s="223"/>
      <c r="U50" s="241">
        <v>86</v>
      </c>
      <c r="V50" s="242">
        <v>8.2635892803951147E-4</v>
      </c>
      <c r="W50" s="244">
        <v>97058</v>
      </c>
      <c r="X50" s="242">
        <v>0.93261331206580123</v>
      </c>
      <c r="Y50" s="241">
        <v>5598</v>
      </c>
      <c r="Z50" s="245">
        <v>5.3790200920525409E-2</v>
      </c>
      <c r="AA50" s="246">
        <v>102656</v>
      </c>
      <c r="AC50" s="247">
        <v>1415</v>
      </c>
      <c r="AD50" s="248">
        <v>1.3596487013673358E-2</v>
      </c>
      <c r="AF50" s="247"/>
      <c r="AG50" s="248">
        <v>0</v>
      </c>
      <c r="AI50" s="240">
        <v>104071</v>
      </c>
      <c r="AJ50" s="248">
        <v>0.6658242911249872</v>
      </c>
      <c r="AL50" s="249" t="s">
        <v>410</v>
      </c>
      <c r="AM50" s="244">
        <v>41248</v>
      </c>
      <c r="AN50" s="250">
        <v>0.39634480306713687</v>
      </c>
      <c r="AO50" s="251">
        <v>2</v>
      </c>
      <c r="AP50" s="251">
        <v>1</v>
      </c>
      <c r="AQ50" s="251">
        <v>3</v>
      </c>
      <c r="AR50" s="251">
        <v>5</v>
      </c>
      <c r="AS50" s="251">
        <v>6</v>
      </c>
      <c r="AT50" s="252"/>
      <c r="AU50" s="252"/>
      <c r="AV50" s="252"/>
      <c r="AW50" s="252"/>
      <c r="AX50" s="253">
        <v>7</v>
      </c>
      <c r="AY50" s="253">
        <v>4</v>
      </c>
      <c r="AZ50" s="254" t="s">
        <v>7</v>
      </c>
      <c r="BA50" s="244">
        <v>37409</v>
      </c>
      <c r="BB50" s="242">
        <v>0.35945652487244284</v>
      </c>
      <c r="BC50" s="244">
        <v>3839</v>
      </c>
      <c r="BD50" s="255">
        <v>3.6888278194694035E-2</v>
      </c>
    </row>
    <row r="51" spans="1:56" ht="17.100000000000001" customHeight="1">
      <c r="A51" s="239" t="s">
        <v>439</v>
      </c>
      <c r="B51" s="240">
        <v>6900</v>
      </c>
      <c r="C51" s="241">
        <v>292</v>
      </c>
      <c r="D51" s="242">
        <v>5.4753422088880552E-2</v>
      </c>
      <c r="E51" s="243">
        <v>1710</v>
      </c>
      <c r="F51" s="242">
        <v>0.32064504031501967</v>
      </c>
      <c r="G51" s="241">
        <v>981</v>
      </c>
      <c r="H51" s="242">
        <v>0.18394899681230076</v>
      </c>
      <c r="I51" s="241">
        <v>1125</v>
      </c>
      <c r="J51" s="242">
        <v>0.21095068441777612</v>
      </c>
      <c r="K51" s="241">
        <v>1040</v>
      </c>
      <c r="L51" s="242">
        <v>0.19501218826176636</v>
      </c>
      <c r="M51" s="222"/>
      <c r="N51" s="223"/>
      <c r="O51" s="222"/>
      <c r="P51" s="223"/>
      <c r="Q51" s="222"/>
      <c r="R51" s="223"/>
      <c r="S51" s="222"/>
      <c r="T51" s="223"/>
      <c r="U51" s="241">
        <v>0</v>
      </c>
      <c r="V51" s="242">
        <v>0</v>
      </c>
      <c r="W51" s="244">
        <v>5148</v>
      </c>
      <c r="X51" s="242">
        <v>0.96531033189574345</v>
      </c>
      <c r="Y51" s="241">
        <v>185</v>
      </c>
      <c r="Z51" s="245">
        <v>3.4689668104256513E-2</v>
      </c>
      <c r="AA51" s="246">
        <v>5333</v>
      </c>
      <c r="AC51" s="247"/>
      <c r="AD51" s="248">
        <v>0</v>
      </c>
      <c r="AF51" s="247"/>
      <c r="AG51" s="248">
        <v>0</v>
      </c>
      <c r="AI51" s="240">
        <v>5333</v>
      </c>
      <c r="AJ51" s="248">
        <v>0.77289855072463765</v>
      </c>
      <c r="AL51" s="249" t="s">
        <v>410</v>
      </c>
      <c r="AM51" s="244">
        <v>1710</v>
      </c>
      <c r="AN51" s="250">
        <v>0.32064504031501967</v>
      </c>
      <c r="AO51" s="251">
        <v>5</v>
      </c>
      <c r="AP51" s="251">
        <v>1</v>
      </c>
      <c r="AQ51" s="251">
        <v>4</v>
      </c>
      <c r="AR51" s="251">
        <v>2</v>
      </c>
      <c r="AS51" s="251">
        <v>3</v>
      </c>
      <c r="AT51" s="251">
        <v>7</v>
      </c>
      <c r="AU51" s="251">
        <v>7</v>
      </c>
      <c r="AV51" s="251">
        <v>7</v>
      </c>
      <c r="AW51" s="251">
        <v>7</v>
      </c>
      <c r="AX51" s="253">
        <v>7</v>
      </c>
      <c r="AY51" s="253">
        <v>6</v>
      </c>
      <c r="AZ51" s="254" t="s">
        <v>11</v>
      </c>
      <c r="BA51" s="244">
        <v>1125</v>
      </c>
      <c r="BB51" s="242">
        <v>0.21095068441777612</v>
      </c>
      <c r="BC51" s="244">
        <v>585</v>
      </c>
      <c r="BD51" s="255">
        <v>0.10969435589724355</v>
      </c>
    </row>
    <row r="52" spans="1:56" ht="17.100000000000001" customHeight="1">
      <c r="A52" s="239" t="s">
        <v>440</v>
      </c>
      <c r="B52" s="240">
        <v>287271</v>
      </c>
      <c r="C52" s="241">
        <v>59125</v>
      </c>
      <c r="D52" s="242">
        <v>0.3339961473932766</v>
      </c>
      <c r="E52" s="243">
        <v>60005</v>
      </c>
      <c r="F52" s="242">
        <v>0.33896725284285095</v>
      </c>
      <c r="G52" s="241">
        <v>39881</v>
      </c>
      <c r="H52" s="242">
        <v>0.22528710958463025</v>
      </c>
      <c r="I52" s="241">
        <v>3594</v>
      </c>
      <c r="J52" s="242">
        <v>2.0302446574738876E-2</v>
      </c>
      <c r="K52" s="241">
        <v>2982</v>
      </c>
      <c r="L52" s="242">
        <v>1.6845268693898532E-2</v>
      </c>
      <c r="M52" s="222"/>
      <c r="N52" s="223"/>
      <c r="O52" s="222"/>
      <c r="P52" s="223"/>
      <c r="Q52" s="222"/>
      <c r="R52" s="223"/>
      <c r="S52" s="222"/>
      <c r="T52" s="223"/>
      <c r="U52" s="241">
        <v>273</v>
      </c>
      <c r="V52" s="242">
        <v>1.5421724860611333E-3</v>
      </c>
      <c r="W52" s="244">
        <v>165860</v>
      </c>
      <c r="X52" s="242">
        <v>0.93694039757545633</v>
      </c>
      <c r="Y52" s="241">
        <v>10364</v>
      </c>
      <c r="Z52" s="245">
        <v>5.8546064635668811E-2</v>
      </c>
      <c r="AA52" s="246">
        <v>176224</v>
      </c>
      <c r="AC52" s="247">
        <v>799</v>
      </c>
      <c r="AD52" s="248">
        <v>4.5135377888748923E-3</v>
      </c>
      <c r="AF52" s="247"/>
      <c r="AG52" s="248">
        <v>0</v>
      </c>
      <c r="AI52" s="240">
        <v>177023</v>
      </c>
      <c r="AJ52" s="248">
        <v>0.61622300893581328</v>
      </c>
      <c r="AL52" s="249" t="s">
        <v>410</v>
      </c>
      <c r="AM52" s="244">
        <v>60005</v>
      </c>
      <c r="AN52" s="250">
        <v>0.33896725284285095</v>
      </c>
      <c r="AO52" s="251">
        <v>2</v>
      </c>
      <c r="AP52" s="251">
        <v>1</v>
      </c>
      <c r="AQ52" s="251">
        <v>3</v>
      </c>
      <c r="AR52" s="251">
        <v>5</v>
      </c>
      <c r="AS52" s="251">
        <v>6</v>
      </c>
      <c r="AT52" s="252"/>
      <c r="AU52" s="252"/>
      <c r="AV52" s="252"/>
      <c r="AW52" s="252"/>
      <c r="AX52" s="253">
        <v>7</v>
      </c>
      <c r="AY52" s="253">
        <v>4</v>
      </c>
      <c r="AZ52" s="254" t="s">
        <v>7</v>
      </c>
      <c r="BA52" s="244">
        <v>59125</v>
      </c>
      <c r="BB52" s="242">
        <v>0.3339961473932766</v>
      </c>
      <c r="BC52" s="244">
        <v>880</v>
      </c>
      <c r="BD52" s="255">
        <v>4.9711054495743534E-3</v>
      </c>
    </row>
    <row r="53" spans="1:56" ht="17.100000000000001" customHeight="1">
      <c r="A53" s="239" t="s">
        <v>267</v>
      </c>
      <c r="B53" s="240">
        <v>23117</v>
      </c>
      <c r="C53" s="241">
        <v>1450</v>
      </c>
      <c r="D53" s="242">
        <v>9.1068961185780686E-2</v>
      </c>
      <c r="E53" s="243">
        <v>6089</v>
      </c>
      <c r="F53" s="242">
        <v>0.38242683080015072</v>
      </c>
      <c r="G53" s="222"/>
      <c r="H53" s="223"/>
      <c r="I53" s="222"/>
      <c r="J53" s="223"/>
      <c r="K53" s="222"/>
      <c r="L53" s="223"/>
      <c r="M53" s="222"/>
      <c r="N53" s="223"/>
      <c r="O53" s="241">
        <v>7735</v>
      </c>
      <c r="P53" s="242">
        <v>0.48580580329104384</v>
      </c>
      <c r="Q53" s="222"/>
      <c r="R53" s="223"/>
      <c r="S53" s="222"/>
      <c r="T53" s="223"/>
      <c r="U53" s="241">
        <v>41</v>
      </c>
      <c r="V53" s="242">
        <v>2.5750533852531088E-3</v>
      </c>
      <c r="W53" s="244">
        <v>15315</v>
      </c>
      <c r="X53" s="242">
        <v>0.96187664866222833</v>
      </c>
      <c r="Y53" s="241">
        <v>607</v>
      </c>
      <c r="Z53" s="245">
        <v>3.8123351337771637E-2</v>
      </c>
      <c r="AA53" s="246">
        <v>15922</v>
      </c>
      <c r="AC53" s="247"/>
      <c r="AD53" s="248">
        <v>0</v>
      </c>
      <c r="AF53" s="247"/>
      <c r="AG53" s="248">
        <v>0</v>
      </c>
      <c r="AI53" s="240">
        <v>15922</v>
      </c>
      <c r="AJ53" s="248">
        <v>0.68875719167712068</v>
      </c>
      <c r="AL53" s="249" t="s">
        <v>256</v>
      </c>
      <c r="AM53" s="244">
        <v>7735</v>
      </c>
      <c r="AN53" s="250">
        <v>0.48580580329104384</v>
      </c>
      <c r="AO53" s="251">
        <v>3</v>
      </c>
      <c r="AP53" s="251">
        <v>2</v>
      </c>
      <c r="AQ53" s="252"/>
      <c r="AR53" s="252"/>
      <c r="AS53" s="252"/>
      <c r="AT53" s="252"/>
      <c r="AU53" s="251">
        <v>1</v>
      </c>
      <c r="AV53" s="252"/>
      <c r="AW53" s="252"/>
      <c r="AX53" s="253">
        <v>5</v>
      </c>
      <c r="AY53" s="253">
        <v>4</v>
      </c>
      <c r="AZ53" s="254" t="s">
        <v>410</v>
      </c>
      <c r="BA53" s="244">
        <v>6089</v>
      </c>
      <c r="BB53" s="242">
        <v>0.38242683080015072</v>
      </c>
      <c r="BC53" s="244">
        <v>1646</v>
      </c>
      <c r="BD53" s="255">
        <v>0.10337897249089312</v>
      </c>
    </row>
    <row r="54" spans="1:56" ht="17.100000000000001" customHeight="1">
      <c r="A54" s="239" t="s">
        <v>268</v>
      </c>
      <c r="B54" s="240">
        <v>4542</v>
      </c>
      <c r="C54" s="241">
        <v>1080</v>
      </c>
      <c r="D54" s="242">
        <v>0.27777777777777779</v>
      </c>
      <c r="E54" s="243">
        <v>1403</v>
      </c>
      <c r="F54" s="242">
        <v>0.36085390946502055</v>
      </c>
      <c r="G54" s="222"/>
      <c r="H54" s="223"/>
      <c r="I54" s="222"/>
      <c r="J54" s="223"/>
      <c r="K54" s="222"/>
      <c r="L54" s="223"/>
      <c r="M54" s="222"/>
      <c r="N54" s="222"/>
      <c r="O54" s="241">
        <v>1304</v>
      </c>
      <c r="P54" s="242">
        <v>0.33539094650205764</v>
      </c>
      <c r="Q54" s="222"/>
      <c r="R54" s="223"/>
      <c r="S54" s="222"/>
      <c r="T54" s="223"/>
      <c r="U54" s="241">
        <v>1</v>
      </c>
      <c r="V54" s="242">
        <v>2.57201646090535E-4</v>
      </c>
      <c r="W54" s="244">
        <v>3788</v>
      </c>
      <c r="X54" s="242">
        <v>0.97427983539094654</v>
      </c>
      <c r="Y54" s="241">
        <v>100</v>
      </c>
      <c r="Z54" s="245">
        <v>2.5720164609053499E-2</v>
      </c>
      <c r="AA54" s="246">
        <v>3888</v>
      </c>
      <c r="AC54" s="247"/>
      <c r="AD54" s="248">
        <v>0</v>
      </c>
      <c r="AF54" s="247"/>
      <c r="AG54" s="248">
        <v>0</v>
      </c>
      <c r="AI54" s="240">
        <v>3888</v>
      </c>
      <c r="AJ54" s="248">
        <v>0.85601056803170406</v>
      </c>
      <c r="AL54" s="249" t="s">
        <v>410</v>
      </c>
      <c r="AM54" s="244">
        <v>1403</v>
      </c>
      <c r="AN54" s="250">
        <v>0.36085390946502055</v>
      </c>
      <c r="AO54" s="251">
        <v>3</v>
      </c>
      <c r="AP54" s="251">
        <v>1</v>
      </c>
      <c r="AQ54" s="252"/>
      <c r="AR54" s="252"/>
      <c r="AS54" s="252"/>
      <c r="AT54" s="252"/>
      <c r="AU54" s="251">
        <v>2</v>
      </c>
      <c r="AV54" s="252"/>
      <c r="AW54" s="252"/>
      <c r="AX54" s="253">
        <v>5</v>
      </c>
      <c r="AY54" s="253">
        <v>4</v>
      </c>
      <c r="AZ54" s="254" t="s">
        <v>256</v>
      </c>
      <c r="BA54" s="244">
        <v>1304</v>
      </c>
      <c r="BB54" s="242">
        <v>0.33539094650205764</v>
      </c>
      <c r="BC54" s="244">
        <v>99</v>
      </c>
      <c r="BD54" s="255">
        <v>2.546296296296291E-2</v>
      </c>
    </row>
    <row r="55" spans="1:56" ht="17.100000000000001" customHeight="1">
      <c r="A55" s="239" t="s">
        <v>269</v>
      </c>
      <c r="B55" s="240">
        <v>94088</v>
      </c>
      <c r="C55" s="241">
        <v>7395</v>
      </c>
      <c r="D55" s="242">
        <v>0.11992993950795479</v>
      </c>
      <c r="E55" s="243">
        <v>34270</v>
      </c>
      <c r="F55" s="242">
        <v>0.55578080147905484</v>
      </c>
      <c r="G55" s="241">
        <v>3198</v>
      </c>
      <c r="H55" s="242">
        <v>5.1864225361249412E-2</v>
      </c>
      <c r="I55" s="241">
        <v>1170</v>
      </c>
      <c r="J55" s="242">
        <v>1.8974716595579054E-2</v>
      </c>
      <c r="K55" s="241">
        <v>11828</v>
      </c>
      <c r="L55" s="242">
        <v>0.19182303238675985</v>
      </c>
      <c r="M55" s="222"/>
      <c r="N55" s="223"/>
      <c r="O55" s="222"/>
      <c r="P55" s="223"/>
      <c r="Q55" s="222"/>
      <c r="R55" s="223"/>
      <c r="S55" s="222"/>
      <c r="T55" s="223"/>
      <c r="U55" s="241">
        <v>41</v>
      </c>
      <c r="V55" s="242">
        <v>6.649259661698643E-4</v>
      </c>
      <c r="W55" s="244">
        <v>57902</v>
      </c>
      <c r="X55" s="242">
        <v>0.93903764129676781</v>
      </c>
      <c r="Y55" s="241">
        <v>3759</v>
      </c>
      <c r="Z55" s="245">
        <v>6.0962358703232189E-2</v>
      </c>
      <c r="AA55" s="246">
        <v>61661</v>
      </c>
      <c r="AC55" s="247"/>
      <c r="AD55" s="248">
        <v>0</v>
      </c>
      <c r="AF55" s="247"/>
      <c r="AG55" s="248">
        <v>0</v>
      </c>
      <c r="AI55" s="240">
        <v>61661</v>
      </c>
      <c r="AJ55" s="248">
        <v>0.6553545616869314</v>
      </c>
      <c r="AL55" s="249" t="s">
        <v>410</v>
      </c>
      <c r="AM55" s="244">
        <v>34270</v>
      </c>
      <c r="AN55" s="250">
        <v>0.55578080147905484</v>
      </c>
      <c r="AO55" s="251">
        <v>3</v>
      </c>
      <c r="AP55" s="251">
        <v>1</v>
      </c>
      <c r="AQ55" s="251">
        <v>5</v>
      </c>
      <c r="AR55" s="251">
        <v>6</v>
      </c>
      <c r="AS55" s="251">
        <v>2</v>
      </c>
      <c r="AT55" s="252"/>
      <c r="AU55" s="252"/>
      <c r="AV55" s="252"/>
      <c r="AW55" s="252"/>
      <c r="AX55" s="253">
        <v>7</v>
      </c>
      <c r="AY55" s="253">
        <v>4</v>
      </c>
      <c r="AZ55" s="254" t="s">
        <v>411</v>
      </c>
      <c r="BA55" s="244">
        <v>11828</v>
      </c>
      <c r="BB55" s="242">
        <v>0.19182303238675985</v>
      </c>
      <c r="BC55" s="244">
        <v>22442</v>
      </c>
      <c r="BD55" s="255">
        <v>0.36395776909229499</v>
      </c>
    </row>
    <row r="56" spans="1:56" ht="17.100000000000001" customHeight="1">
      <c r="A56" s="239" t="s">
        <v>270</v>
      </c>
      <c r="B56" s="240">
        <v>15408</v>
      </c>
      <c r="C56" s="241">
        <v>3182</v>
      </c>
      <c r="D56" s="242">
        <v>0.32406558712699868</v>
      </c>
      <c r="E56" s="243">
        <v>4219</v>
      </c>
      <c r="F56" s="242">
        <v>0.42967715653325184</v>
      </c>
      <c r="G56" s="241">
        <v>409</v>
      </c>
      <c r="H56" s="242">
        <v>4.1653936246053569E-2</v>
      </c>
      <c r="I56" s="241">
        <v>1695</v>
      </c>
      <c r="J56" s="242">
        <v>0.17262450351359609</v>
      </c>
      <c r="K56" s="241">
        <v>41</v>
      </c>
      <c r="L56" s="242">
        <v>4.1755779610958346E-3</v>
      </c>
      <c r="M56" s="222"/>
      <c r="N56" s="223"/>
      <c r="O56" s="222"/>
      <c r="P56" s="223"/>
      <c r="Q56" s="222"/>
      <c r="R56" s="223"/>
      <c r="S56" s="222"/>
      <c r="T56" s="223"/>
      <c r="U56" s="241">
        <v>5</v>
      </c>
      <c r="V56" s="242">
        <v>5.0921682452388227E-4</v>
      </c>
      <c r="W56" s="244">
        <v>9551</v>
      </c>
      <c r="X56" s="242">
        <v>0.97270597820551996</v>
      </c>
      <c r="Y56" s="241">
        <v>268</v>
      </c>
      <c r="Z56" s="245">
        <v>2.7294021794480091E-2</v>
      </c>
      <c r="AA56" s="246">
        <v>9819</v>
      </c>
      <c r="AC56" s="247"/>
      <c r="AD56" s="248">
        <v>0</v>
      </c>
      <c r="AF56" s="247"/>
      <c r="AG56" s="248">
        <v>0</v>
      </c>
      <c r="AI56" s="240">
        <v>9819</v>
      </c>
      <c r="AJ56" s="248">
        <v>0.63726635514018692</v>
      </c>
      <c r="AL56" s="249" t="s">
        <v>410</v>
      </c>
      <c r="AM56" s="244">
        <v>4219</v>
      </c>
      <c r="AN56" s="250">
        <v>0.42967715653325184</v>
      </c>
      <c r="AO56" s="251">
        <v>2</v>
      </c>
      <c r="AP56" s="251">
        <v>1</v>
      </c>
      <c r="AQ56" s="251">
        <v>4</v>
      </c>
      <c r="AR56" s="251">
        <v>3</v>
      </c>
      <c r="AS56" s="251">
        <v>6</v>
      </c>
      <c r="AT56" s="252"/>
      <c r="AU56" s="252"/>
      <c r="AV56" s="252"/>
      <c r="AW56" s="252"/>
      <c r="AX56" s="253">
        <v>7</v>
      </c>
      <c r="AY56" s="253">
        <v>5</v>
      </c>
      <c r="AZ56" s="254" t="s">
        <v>7</v>
      </c>
      <c r="BA56" s="244">
        <v>3182</v>
      </c>
      <c r="BB56" s="242">
        <v>0.32406558712699868</v>
      </c>
      <c r="BC56" s="244">
        <v>1037</v>
      </c>
      <c r="BD56" s="255">
        <v>0.10561156940625316</v>
      </c>
    </row>
    <row r="57" spans="1:56" ht="17.100000000000001" customHeight="1">
      <c r="A57" s="239" t="s">
        <v>271</v>
      </c>
      <c r="B57" s="240">
        <v>17686</v>
      </c>
      <c r="C57" s="241">
        <v>2922</v>
      </c>
      <c r="D57" s="242">
        <v>0.23899885489939474</v>
      </c>
      <c r="E57" s="243">
        <v>3978</v>
      </c>
      <c r="F57" s="242">
        <v>0.32537215769671191</v>
      </c>
      <c r="G57" s="222"/>
      <c r="H57" s="223"/>
      <c r="I57" s="222"/>
      <c r="J57" s="223"/>
      <c r="K57" s="241">
        <v>1288</v>
      </c>
      <c r="L57" s="242">
        <v>0.10534925568460658</v>
      </c>
      <c r="M57" s="222"/>
      <c r="N57" s="223"/>
      <c r="O57" s="241">
        <v>3564</v>
      </c>
      <c r="P57" s="242">
        <v>0.29150989694094553</v>
      </c>
      <c r="Q57" s="222"/>
      <c r="R57" s="223"/>
      <c r="S57" s="222"/>
      <c r="T57" s="223"/>
      <c r="U57" s="241">
        <v>17</v>
      </c>
      <c r="V57" s="242">
        <v>1.3904793063962049E-3</v>
      </c>
      <c r="W57" s="244">
        <v>11769</v>
      </c>
      <c r="X57" s="242">
        <v>0.96262064452805496</v>
      </c>
      <c r="Y57" s="241">
        <v>457</v>
      </c>
      <c r="Z57" s="245">
        <v>3.7379355471945035E-2</v>
      </c>
      <c r="AA57" s="246">
        <v>12226</v>
      </c>
      <c r="AC57" s="247"/>
      <c r="AD57" s="248">
        <v>0</v>
      </c>
      <c r="AF57" s="247"/>
      <c r="AG57" s="248">
        <v>0</v>
      </c>
      <c r="AI57" s="240">
        <v>12226</v>
      </c>
      <c r="AJ57" s="248">
        <v>0.69128123939839425</v>
      </c>
      <c r="AL57" s="249" t="s">
        <v>410</v>
      </c>
      <c r="AM57" s="244">
        <v>3978</v>
      </c>
      <c r="AN57" s="250">
        <v>0.32537215769671191</v>
      </c>
      <c r="AO57" s="251">
        <v>3</v>
      </c>
      <c r="AP57" s="251">
        <v>1</v>
      </c>
      <c r="AQ57" s="252"/>
      <c r="AR57" s="252"/>
      <c r="AS57" s="251">
        <v>4</v>
      </c>
      <c r="AT57" s="252"/>
      <c r="AU57" s="251">
        <v>2</v>
      </c>
      <c r="AV57" s="252"/>
      <c r="AW57" s="252"/>
      <c r="AX57" s="253">
        <v>6</v>
      </c>
      <c r="AY57" s="253">
        <v>5</v>
      </c>
      <c r="AZ57" s="254" t="s">
        <v>256</v>
      </c>
      <c r="BA57" s="244">
        <v>3564</v>
      </c>
      <c r="BB57" s="242">
        <v>0.29150989694094553</v>
      </c>
      <c r="BC57" s="244">
        <v>414</v>
      </c>
      <c r="BD57" s="255">
        <v>3.3862260755766371E-2</v>
      </c>
    </row>
    <row r="58" spans="1:56" ht="17.100000000000001" customHeight="1">
      <c r="A58" s="239" t="s">
        <v>272</v>
      </c>
      <c r="B58" s="240">
        <v>55960</v>
      </c>
      <c r="C58" s="241">
        <v>10050</v>
      </c>
      <c r="D58" s="242">
        <v>0.2488547728116875</v>
      </c>
      <c r="E58" s="243">
        <v>21429</v>
      </c>
      <c r="F58" s="242">
        <v>0.53061780363996536</v>
      </c>
      <c r="G58" s="241">
        <v>5553</v>
      </c>
      <c r="H58" s="242">
        <v>0.13750154760430852</v>
      </c>
      <c r="I58" s="241">
        <v>702</v>
      </c>
      <c r="J58" s="242">
        <v>1.7382691593413397E-2</v>
      </c>
      <c r="K58" s="241">
        <v>825</v>
      </c>
      <c r="L58" s="242">
        <v>2.0428376872601212E-2</v>
      </c>
      <c r="M58" s="222"/>
      <c r="N58" s="223"/>
      <c r="O58" s="222"/>
      <c r="P58" s="223"/>
      <c r="Q58" s="222"/>
      <c r="R58" s="223"/>
      <c r="S58" s="222"/>
      <c r="T58" s="223"/>
      <c r="U58" s="241">
        <v>33</v>
      </c>
      <c r="V58" s="242">
        <v>8.1713507490404854E-4</v>
      </c>
      <c r="W58" s="244">
        <v>38592</v>
      </c>
      <c r="X58" s="242">
        <v>0.95560232759688002</v>
      </c>
      <c r="Y58" s="241">
        <v>1793</v>
      </c>
      <c r="Z58" s="245">
        <v>4.4397672403119967E-2</v>
      </c>
      <c r="AA58" s="246">
        <v>40385</v>
      </c>
      <c r="AC58" s="247"/>
      <c r="AD58" s="248">
        <v>0</v>
      </c>
      <c r="AF58" s="247"/>
      <c r="AG58" s="248">
        <v>0</v>
      </c>
      <c r="AI58" s="240">
        <v>40385</v>
      </c>
      <c r="AJ58" s="248">
        <v>0.72167619728377408</v>
      </c>
      <c r="AL58" s="249" t="s">
        <v>410</v>
      </c>
      <c r="AM58" s="244">
        <v>21429</v>
      </c>
      <c r="AN58" s="250">
        <v>0.53061780363996536</v>
      </c>
      <c r="AO58" s="251">
        <v>2</v>
      </c>
      <c r="AP58" s="251">
        <v>1</v>
      </c>
      <c r="AQ58" s="251">
        <v>3</v>
      </c>
      <c r="AR58" s="251">
        <v>6</v>
      </c>
      <c r="AS58" s="251">
        <v>5</v>
      </c>
      <c r="AT58" s="252"/>
      <c r="AU58" s="252"/>
      <c r="AV58" s="252"/>
      <c r="AW58" s="252"/>
      <c r="AX58" s="253">
        <v>7</v>
      </c>
      <c r="AY58" s="253">
        <v>4</v>
      </c>
      <c r="AZ58" s="254" t="s">
        <v>7</v>
      </c>
      <c r="BA58" s="244">
        <v>10050</v>
      </c>
      <c r="BB58" s="242">
        <v>0.2488547728116875</v>
      </c>
      <c r="BC58" s="244">
        <v>11379</v>
      </c>
      <c r="BD58" s="255">
        <v>0.28176303082827786</v>
      </c>
    </row>
    <row r="59" spans="1:56" ht="17.100000000000001" customHeight="1">
      <c r="A59" s="239" t="s">
        <v>273</v>
      </c>
      <c r="B59" s="240">
        <v>12646</v>
      </c>
      <c r="C59" s="241">
        <v>3484</v>
      </c>
      <c r="D59" s="242">
        <v>0.36577427821522307</v>
      </c>
      <c r="E59" s="243">
        <v>4155</v>
      </c>
      <c r="F59" s="242">
        <v>0.43622047244094486</v>
      </c>
      <c r="G59" s="222"/>
      <c r="H59" s="223"/>
      <c r="I59" s="222"/>
      <c r="J59" s="223"/>
      <c r="K59" s="222"/>
      <c r="L59" s="223"/>
      <c r="M59" s="241">
        <v>1680</v>
      </c>
      <c r="N59" s="242">
        <v>0.17637795275590551</v>
      </c>
      <c r="O59" s="222"/>
      <c r="P59" s="223"/>
      <c r="Q59" s="222"/>
      <c r="R59" s="223"/>
      <c r="S59" s="222"/>
      <c r="T59" s="223"/>
      <c r="U59" s="241">
        <v>3</v>
      </c>
      <c r="V59" s="242">
        <v>3.1496062992125983E-4</v>
      </c>
      <c r="W59" s="244">
        <v>9322</v>
      </c>
      <c r="X59" s="242">
        <v>0.9786876640419947</v>
      </c>
      <c r="Y59" s="241">
        <v>203</v>
      </c>
      <c r="Z59" s="245">
        <v>2.131233595800525E-2</v>
      </c>
      <c r="AA59" s="246">
        <v>9525</v>
      </c>
      <c r="AC59" s="247"/>
      <c r="AD59" s="248">
        <v>0</v>
      </c>
      <c r="AF59" s="247"/>
      <c r="AG59" s="248">
        <v>0</v>
      </c>
      <c r="AI59" s="240">
        <v>9525</v>
      </c>
      <c r="AJ59" s="248">
        <v>0.75320259370551956</v>
      </c>
      <c r="AL59" s="249" t="s">
        <v>410</v>
      </c>
      <c r="AM59" s="244">
        <v>4155</v>
      </c>
      <c r="AN59" s="250">
        <v>0.43622047244094486</v>
      </c>
      <c r="AO59" s="251">
        <v>2</v>
      </c>
      <c r="AP59" s="251">
        <v>1</v>
      </c>
      <c r="AQ59" s="252"/>
      <c r="AR59" s="252"/>
      <c r="AS59" s="252"/>
      <c r="AT59" s="251">
        <v>3</v>
      </c>
      <c r="AU59" s="252"/>
      <c r="AV59" s="252"/>
      <c r="AW59" s="252"/>
      <c r="AX59" s="253">
        <v>5</v>
      </c>
      <c r="AY59" s="253">
        <v>4</v>
      </c>
      <c r="AZ59" s="254" t="s">
        <v>7</v>
      </c>
      <c r="BA59" s="244">
        <v>3484</v>
      </c>
      <c r="BB59" s="242">
        <v>0.36577427821522307</v>
      </c>
      <c r="BC59" s="244">
        <v>671</v>
      </c>
      <c r="BD59" s="255">
        <v>7.0446194225721792E-2</v>
      </c>
    </row>
    <row r="60" spans="1:56" ht="17.100000000000001" customHeight="1">
      <c r="A60" s="239" t="s">
        <v>274</v>
      </c>
      <c r="B60" s="240">
        <v>45074</v>
      </c>
      <c r="C60" s="241">
        <v>3245</v>
      </c>
      <c r="D60" s="242">
        <v>0.10603535601084861</v>
      </c>
      <c r="E60" s="243">
        <v>17240</v>
      </c>
      <c r="F60" s="242">
        <v>0.56334346305917715</v>
      </c>
      <c r="G60" s="222"/>
      <c r="H60" s="223"/>
      <c r="I60" s="222"/>
      <c r="J60" s="223"/>
      <c r="K60" s="222"/>
      <c r="L60" s="223"/>
      <c r="M60" s="241">
        <v>9056</v>
      </c>
      <c r="N60" s="242">
        <v>0.29591870078096921</v>
      </c>
      <c r="O60" s="222"/>
      <c r="P60" s="223"/>
      <c r="Q60" s="222"/>
      <c r="R60" s="223"/>
      <c r="S60" s="222"/>
      <c r="T60" s="223"/>
      <c r="U60" s="241">
        <v>38</v>
      </c>
      <c r="V60" s="242">
        <v>1.2417083292487665E-3</v>
      </c>
      <c r="W60" s="244">
        <v>29579</v>
      </c>
      <c r="X60" s="242">
        <v>0.96653922818024374</v>
      </c>
      <c r="Y60" s="241">
        <v>1024</v>
      </c>
      <c r="Z60" s="245">
        <v>3.3460771819756235E-2</v>
      </c>
      <c r="AA60" s="246">
        <v>30603</v>
      </c>
      <c r="AC60" s="247"/>
      <c r="AD60" s="248">
        <v>0</v>
      </c>
      <c r="AF60" s="247"/>
      <c r="AG60" s="248">
        <v>0</v>
      </c>
      <c r="AI60" s="240">
        <v>30603</v>
      </c>
      <c r="AJ60" s="248">
        <v>0.67895017083019038</v>
      </c>
      <c r="AL60" s="249" t="s">
        <v>410</v>
      </c>
      <c r="AM60" s="244">
        <v>17240</v>
      </c>
      <c r="AN60" s="250">
        <v>0.56334346305917715</v>
      </c>
      <c r="AO60" s="251">
        <v>3</v>
      </c>
      <c r="AP60" s="251">
        <v>1</v>
      </c>
      <c r="AQ60" s="252"/>
      <c r="AR60" s="252"/>
      <c r="AS60" s="252"/>
      <c r="AT60" s="251">
        <v>2</v>
      </c>
      <c r="AU60" s="252"/>
      <c r="AV60" s="252"/>
      <c r="AW60" s="252"/>
      <c r="AX60" s="253">
        <v>5</v>
      </c>
      <c r="AY60" s="253">
        <v>4</v>
      </c>
      <c r="AZ60" s="254" t="s">
        <v>412</v>
      </c>
      <c r="BA60" s="244">
        <v>9056</v>
      </c>
      <c r="BB60" s="242">
        <v>0.29591870078096921</v>
      </c>
      <c r="BC60" s="244">
        <v>8184</v>
      </c>
      <c r="BD60" s="255">
        <v>0.26742476227820794</v>
      </c>
    </row>
    <row r="61" spans="1:56" ht="17.100000000000001" customHeight="1">
      <c r="A61" s="239" t="s">
        <v>275</v>
      </c>
      <c r="B61" s="240">
        <v>41533</v>
      </c>
      <c r="C61" s="241">
        <v>10326</v>
      </c>
      <c r="D61" s="242">
        <v>0.34533962074846997</v>
      </c>
      <c r="E61" s="243">
        <v>15450</v>
      </c>
      <c r="F61" s="242">
        <v>0.51670512691883219</v>
      </c>
      <c r="G61" s="241">
        <v>1345</v>
      </c>
      <c r="H61" s="242">
        <v>4.4981773184843317E-2</v>
      </c>
      <c r="I61" s="241">
        <v>557</v>
      </c>
      <c r="J61" s="242">
        <v>1.8628139527106118E-2</v>
      </c>
      <c r="K61" s="241">
        <v>936</v>
      </c>
      <c r="L61" s="242">
        <v>3.1303300892946723E-2</v>
      </c>
      <c r="M61" s="222"/>
      <c r="N61" s="223"/>
      <c r="O61" s="222"/>
      <c r="P61" s="223"/>
      <c r="Q61" s="222"/>
      <c r="R61" s="223"/>
      <c r="S61" s="222"/>
      <c r="T61" s="223"/>
      <c r="U61" s="241">
        <v>13</v>
      </c>
      <c r="V61" s="242">
        <v>4.3476806795759336E-4</v>
      </c>
      <c r="W61" s="244">
        <v>28627</v>
      </c>
      <c r="X61" s="242">
        <v>0.95739272934015585</v>
      </c>
      <c r="Y61" s="241">
        <v>1274</v>
      </c>
      <c r="Z61" s="245">
        <v>4.2607270659844154E-2</v>
      </c>
      <c r="AA61" s="246">
        <v>29901</v>
      </c>
      <c r="AC61" s="247"/>
      <c r="AD61" s="248">
        <v>0</v>
      </c>
      <c r="AF61" s="247"/>
      <c r="AG61" s="248">
        <v>0</v>
      </c>
      <c r="AI61" s="240">
        <v>29901</v>
      </c>
      <c r="AJ61" s="248">
        <v>0.71993354681819277</v>
      </c>
      <c r="AL61" s="249" t="s">
        <v>410</v>
      </c>
      <c r="AM61" s="244">
        <v>15450</v>
      </c>
      <c r="AN61" s="250">
        <v>0.51670512691883219</v>
      </c>
      <c r="AO61" s="251">
        <v>2</v>
      </c>
      <c r="AP61" s="251">
        <v>1</v>
      </c>
      <c r="AQ61" s="251">
        <v>3</v>
      </c>
      <c r="AR61" s="251">
        <v>6</v>
      </c>
      <c r="AS61" s="251">
        <v>5</v>
      </c>
      <c r="AT61" s="252"/>
      <c r="AU61" s="252"/>
      <c r="AV61" s="252"/>
      <c r="AW61" s="252"/>
      <c r="AX61" s="253">
        <v>7</v>
      </c>
      <c r="AY61" s="253">
        <v>4</v>
      </c>
      <c r="AZ61" s="254" t="s">
        <v>7</v>
      </c>
      <c r="BA61" s="244">
        <v>10326</v>
      </c>
      <c r="BB61" s="242">
        <v>0.34533962074846997</v>
      </c>
      <c r="BC61" s="244">
        <v>5124</v>
      </c>
      <c r="BD61" s="255">
        <v>0.17136550617036223</v>
      </c>
    </row>
    <row r="62" spans="1:56" ht="17.100000000000001" customHeight="1">
      <c r="A62" s="239" t="s">
        <v>276</v>
      </c>
      <c r="B62" s="240">
        <v>8856</v>
      </c>
      <c r="C62" s="241">
        <v>3525</v>
      </c>
      <c r="D62" s="242">
        <v>0.52564867283030126</v>
      </c>
      <c r="E62" s="243">
        <v>2324</v>
      </c>
      <c r="F62" s="242">
        <v>0.3465553235908142</v>
      </c>
      <c r="G62" s="222"/>
      <c r="H62" s="223"/>
      <c r="I62" s="222"/>
      <c r="J62" s="223"/>
      <c r="K62" s="222"/>
      <c r="L62" s="223"/>
      <c r="M62" s="222"/>
      <c r="N62" s="223"/>
      <c r="O62" s="241">
        <v>651</v>
      </c>
      <c r="P62" s="242">
        <v>9.7077244258872653E-2</v>
      </c>
      <c r="Q62" s="222"/>
      <c r="R62" s="223"/>
      <c r="S62" s="222"/>
      <c r="T62" s="223"/>
      <c r="U62" s="241">
        <v>5</v>
      </c>
      <c r="V62" s="242">
        <v>7.4560095436922158E-4</v>
      </c>
      <c r="W62" s="244">
        <v>6505</v>
      </c>
      <c r="X62" s="242">
        <v>0.97002684163435726</v>
      </c>
      <c r="Y62" s="241">
        <v>201</v>
      </c>
      <c r="Z62" s="245">
        <v>2.9973158365642707E-2</v>
      </c>
      <c r="AA62" s="246">
        <v>6706</v>
      </c>
      <c r="AC62" s="247"/>
      <c r="AD62" s="248">
        <v>0</v>
      </c>
      <c r="AF62" s="247"/>
      <c r="AG62" s="248">
        <v>0</v>
      </c>
      <c r="AI62" s="240">
        <v>6706</v>
      </c>
      <c r="AJ62" s="248">
        <v>0.75722673893405601</v>
      </c>
      <c r="AL62" s="249" t="s">
        <v>7</v>
      </c>
      <c r="AM62" s="244">
        <v>3525</v>
      </c>
      <c r="AN62" s="250">
        <v>0.52564867283030126</v>
      </c>
      <c r="AO62" s="251">
        <v>1</v>
      </c>
      <c r="AP62" s="251">
        <v>2</v>
      </c>
      <c r="AQ62" s="252"/>
      <c r="AR62" s="252"/>
      <c r="AS62" s="252"/>
      <c r="AT62" s="252"/>
      <c r="AU62" s="251">
        <v>3</v>
      </c>
      <c r="AV62" s="252"/>
      <c r="AW62" s="252"/>
      <c r="AX62" s="253">
        <v>5</v>
      </c>
      <c r="AY62" s="253">
        <v>4</v>
      </c>
      <c r="AZ62" s="254" t="s">
        <v>410</v>
      </c>
      <c r="BA62" s="244">
        <v>2324</v>
      </c>
      <c r="BB62" s="242">
        <v>0.3465553235908142</v>
      </c>
      <c r="BC62" s="244">
        <v>1201</v>
      </c>
      <c r="BD62" s="255">
        <v>0.17909334923948705</v>
      </c>
    </row>
    <row r="63" spans="1:56" ht="17.100000000000001" customHeight="1">
      <c r="A63" s="239" t="s">
        <v>277</v>
      </c>
      <c r="B63" s="240">
        <v>15367</v>
      </c>
      <c r="C63" s="241">
        <v>3425</v>
      </c>
      <c r="D63" s="242">
        <v>0.31413372466293682</v>
      </c>
      <c r="E63" s="243">
        <v>4493</v>
      </c>
      <c r="F63" s="242">
        <v>0.41208841603228469</v>
      </c>
      <c r="G63" s="241">
        <v>1956</v>
      </c>
      <c r="H63" s="242">
        <v>0.17940016509217646</v>
      </c>
      <c r="I63" s="222"/>
      <c r="J63" s="223"/>
      <c r="K63" s="241">
        <v>698</v>
      </c>
      <c r="L63" s="242">
        <v>6.4019077318169318E-2</v>
      </c>
      <c r="M63" s="222"/>
      <c r="N63" s="223"/>
      <c r="O63" s="222"/>
      <c r="P63" s="223"/>
      <c r="Q63" s="222"/>
      <c r="R63" s="223"/>
      <c r="S63" s="222"/>
      <c r="T63" s="223"/>
      <c r="U63" s="241">
        <v>18</v>
      </c>
      <c r="V63" s="242">
        <v>1.6509217646519306E-3</v>
      </c>
      <c r="W63" s="244">
        <v>10590</v>
      </c>
      <c r="X63" s="242">
        <v>0.97129230487021923</v>
      </c>
      <c r="Y63" s="241">
        <v>313</v>
      </c>
      <c r="Z63" s="245">
        <v>2.8707695129780796E-2</v>
      </c>
      <c r="AA63" s="246">
        <v>10903</v>
      </c>
      <c r="AC63" s="247"/>
      <c r="AD63" s="248">
        <v>0</v>
      </c>
      <c r="AF63" s="247"/>
      <c r="AG63" s="248">
        <v>0</v>
      </c>
      <c r="AI63" s="240">
        <v>10903</v>
      </c>
      <c r="AJ63" s="248">
        <v>0.70950738595692064</v>
      </c>
      <c r="AL63" s="249" t="s">
        <v>410</v>
      </c>
      <c r="AM63" s="244">
        <v>4493</v>
      </c>
      <c r="AN63" s="250">
        <v>0.41208841603228469</v>
      </c>
      <c r="AO63" s="251">
        <v>2</v>
      </c>
      <c r="AP63" s="251">
        <v>1</v>
      </c>
      <c r="AQ63" s="251">
        <v>3</v>
      </c>
      <c r="AR63" s="252"/>
      <c r="AS63" s="251">
        <v>4</v>
      </c>
      <c r="AT63" s="252"/>
      <c r="AU63" s="252"/>
      <c r="AV63" s="252"/>
      <c r="AW63" s="252"/>
      <c r="AX63" s="253">
        <v>6</v>
      </c>
      <c r="AY63" s="253">
        <v>5</v>
      </c>
      <c r="AZ63" s="254" t="s">
        <v>7</v>
      </c>
      <c r="BA63" s="244">
        <v>3425</v>
      </c>
      <c r="BB63" s="242">
        <v>0.31413372466293682</v>
      </c>
      <c r="BC63" s="244">
        <v>1068</v>
      </c>
      <c r="BD63" s="255">
        <v>9.7954691369347868E-2</v>
      </c>
    </row>
    <row r="64" spans="1:56" ht="17.100000000000001" customHeight="1">
      <c r="A64" s="239" t="s">
        <v>278</v>
      </c>
      <c r="B64" s="240">
        <v>79325</v>
      </c>
      <c r="C64" s="241">
        <v>15694</v>
      </c>
      <c r="D64" s="242">
        <v>0.27809969344178054</v>
      </c>
      <c r="E64" s="243">
        <v>20364</v>
      </c>
      <c r="F64" s="242">
        <v>0.36085269257349423</v>
      </c>
      <c r="G64" s="241">
        <v>10533</v>
      </c>
      <c r="H64" s="242">
        <v>0.18664611131784595</v>
      </c>
      <c r="I64" s="241">
        <v>6762</v>
      </c>
      <c r="J64" s="242">
        <v>0.11982350752219446</v>
      </c>
      <c r="K64" s="241">
        <v>785</v>
      </c>
      <c r="L64" s="242">
        <v>1.3910300710577144E-2</v>
      </c>
      <c r="M64" s="222"/>
      <c r="N64" s="223"/>
      <c r="O64" s="222"/>
      <c r="P64" s="223"/>
      <c r="Q64" s="222"/>
      <c r="R64" s="223"/>
      <c r="S64" s="222"/>
      <c r="T64" s="223"/>
      <c r="U64" s="241">
        <v>65</v>
      </c>
      <c r="V64" s="242">
        <v>1.1518083390923751E-3</v>
      </c>
      <c r="W64" s="244">
        <v>54203</v>
      </c>
      <c r="X64" s="242">
        <v>0.96048411390498467</v>
      </c>
      <c r="Y64" s="241">
        <v>2230</v>
      </c>
      <c r="Z64" s="245">
        <v>3.9515886095015329E-2</v>
      </c>
      <c r="AA64" s="246">
        <v>56433</v>
      </c>
      <c r="AC64" s="247"/>
      <c r="AD64" s="248">
        <v>0</v>
      </c>
      <c r="AF64" s="247"/>
      <c r="AG64" s="248">
        <v>0</v>
      </c>
      <c r="AI64" s="240">
        <v>56433</v>
      </c>
      <c r="AJ64" s="248">
        <v>0.71141506460762682</v>
      </c>
      <c r="AL64" s="249" t="s">
        <v>410</v>
      </c>
      <c r="AM64" s="244">
        <v>20364</v>
      </c>
      <c r="AN64" s="250">
        <v>0.36085269257349423</v>
      </c>
      <c r="AO64" s="251">
        <v>2</v>
      </c>
      <c r="AP64" s="251">
        <v>1</v>
      </c>
      <c r="AQ64" s="251">
        <v>3</v>
      </c>
      <c r="AR64" s="251">
        <v>4</v>
      </c>
      <c r="AS64" s="251">
        <v>6</v>
      </c>
      <c r="AT64" s="252"/>
      <c r="AU64" s="252"/>
      <c r="AV64" s="252"/>
      <c r="AW64" s="252"/>
      <c r="AX64" s="253">
        <v>7</v>
      </c>
      <c r="AY64" s="253">
        <v>5</v>
      </c>
      <c r="AZ64" s="254" t="s">
        <v>7</v>
      </c>
      <c r="BA64" s="244">
        <v>15694</v>
      </c>
      <c r="BB64" s="242">
        <v>0.27809969344178054</v>
      </c>
      <c r="BC64" s="244">
        <v>4670</v>
      </c>
      <c r="BD64" s="255">
        <v>8.2752999131713689E-2</v>
      </c>
    </row>
    <row r="65" spans="1:56" ht="17.100000000000001" customHeight="1">
      <c r="A65" s="239" t="s">
        <v>279</v>
      </c>
      <c r="B65" s="240">
        <v>16989</v>
      </c>
      <c r="C65" s="241">
        <v>4150</v>
      </c>
      <c r="D65" s="242">
        <v>0.33874785731776996</v>
      </c>
      <c r="E65" s="243">
        <v>5973</v>
      </c>
      <c r="F65" s="242">
        <v>0.48755203656844337</v>
      </c>
      <c r="G65" s="241">
        <v>939</v>
      </c>
      <c r="H65" s="242">
        <v>7.664680434250265E-2</v>
      </c>
      <c r="I65" s="241">
        <v>540</v>
      </c>
      <c r="J65" s="242">
        <v>4.407803444616766E-2</v>
      </c>
      <c r="K65" s="222"/>
      <c r="L65" s="223"/>
      <c r="M65" s="222"/>
      <c r="N65" s="223"/>
      <c r="O65" s="222"/>
      <c r="P65" s="223"/>
      <c r="Q65" s="222"/>
      <c r="R65" s="223"/>
      <c r="S65" s="222"/>
      <c r="T65" s="223"/>
      <c r="U65" s="241">
        <v>10</v>
      </c>
      <c r="V65" s="242">
        <v>8.1625989715125298E-4</v>
      </c>
      <c r="W65" s="244">
        <v>11612</v>
      </c>
      <c r="X65" s="242">
        <v>0.94784099257203491</v>
      </c>
      <c r="Y65" s="241">
        <v>639</v>
      </c>
      <c r="Z65" s="245">
        <v>5.2159007427965066E-2</v>
      </c>
      <c r="AA65" s="246">
        <v>12251</v>
      </c>
      <c r="AC65" s="247"/>
      <c r="AD65" s="248">
        <v>0</v>
      </c>
      <c r="AF65" s="247"/>
      <c r="AG65" s="248">
        <v>0</v>
      </c>
      <c r="AI65" s="240">
        <v>12251</v>
      </c>
      <c r="AJ65" s="248">
        <v>0.72111366178115255</v>
      </c>
      <c r="AL65" s="249" t="s">
        <v>410</v>
      </c>
      <c r="AM65" s="244">
        <v>5973</v>
      </c>
      <c r="AN65" s="250">
        <v>0.48755203656844337</v>
      </c>
      <c r="AO65" s="251">
        <v>2</v>
      </c>
      <c r="AP65" s="251">
        <v>1</v>
      </c>
      <c r="AQ65" s="251">
        <v>3</v>
      </c>
      <c r="AR65" s="251">
        <v>5</v>
      </c>
      <c r="AS65" s="252"/>
      <c r="AT65" s="252"/>
      <c r="AU65" s="252"/>
      <c r="AV65" s="252"/>
      <c r="AW65" s="252"/>
      <c r="AX65" s="253">
        <v>6</v>
      </c>
      <c r="AY65" s="253">
        <v>4</v>
      </c>
      <c r="AZ65" s="254" t="s">
        <v>7</v>
      </c>
      <c r="BA65" s="244">
        <v>4150</v>
      </c>
      <c r="BB65" s="242">
        <v>0.33874785731776996</v>
      </c>
      <c r="BC65" s="244">
        <v>1823</v>
      </c>
      <c r="BD65" s="255">
        <v>0.14880417925067341</v>
      </c>
    </row>
    <row r="66" spans="1:56" ht="17.100000000000001" customHeight="1">
      <c r="A66" s="239" t="s">
        <v>280</v>
      </c>
      <c r="B66" s="240">
        <v>38390</v>
      </c>
      <c r="C66" s="241">
        <v>7322</v>
      </c>
      <c r="D66" s="242">
        <v>0.28318378712871289</v>
      </c>
      <c r="E66" s="243">
        <v>7367</v>
      </c>
      <c r="F66" s="242">
        <v>0.28492419554455445</v>
      </c>
      <c r="G66" s="222"/>
      <c r="H66" s="223"/>
      <c r="I66" s="222"/>
      <c r="J66" s="223"/>
      <c r="K66" s="241">
        <v>3359</v>
      </c>
      <c r="L66" s="242">
        <v>0.12991181930693069</v>
      </c>
      <c r="M66" s="222"/>
      <c r="N66" s="223"/>
      <c r="O66" s="241">
        <v>7037</v>
      </c>
      <c r="P66" s="242">
        <v>0.27216120049504949</v>
      </c>
      <c r="Q66" s="222"/>
      <c r="R66" s="223"/>
      <c r="S66" s="222"/>
      <c r="T66" s="223"/>
      <c r="U66" s="241">
        <v>25</v>
      </c>
      <c r="V66" s="242">
        <v>9.6689356435643563E-4</v>
      </c>
      <c r="W66" s="244">
        <v>25110</v>
      </c>
      <c r="X66" s="242">
        <v>0.97114789603960394</v>
      </c>
      <c r="Y66" s="241">
        <v>746</v>
      </c>
      <c r="Z66" s="245">
        <v>2.8852103960396041E-2</v>
      </c>
      <c r="AA66" s="246">
        <v>25856</v>
      </c>
      <c r="AC66" s="247"/>
      <c r="AD66" s="248">
        <v>0</v>
      </c>
      <c r="AF66" s="247"/>
      <c r="AG66" s="248">
        <v>0</v>
      </c>
      <c r="AI66" s="264">
        <v>25856</v>
      </c>
      <c r="AJ66" s="248">
        <v>0.67350872623078928</v>
      </c>
      <c r="AL66" s="249" t="s">
        <v>410</v>
      </c>
      <c r="AM66" s="244">
        <v>7367</v>
      </c>
      <c r="AN66" s="250">
        <v>0.28492419554455445</v>
      </c>
      <c r="AO66" s="251">
        <v>2</v>
      </c>
      <c r="AP66" s="251">
        <v>1</v>
      </c>
      <c r="AQ66" s="252"/>
      <c r="AR66" s="252"/>
      <c r="AS66" s="251">
        <v>4</v>
      </c>
      <c r="AT66" s="252"/>
      <c r="AU66" s="251">
        <v>3</v>
      </c>
      <c r="AV66" s="252"/>
      <c r="AW66" s="252"/>
      <c r="AX66" s="253">
        <v>6</v>
      </c>
      <c r="AY66" s="253">
        <v>5</v>
      </c>
      <c r="AZ66" s="254" t="s">
        <v>7</v>
      </c>
      <c r="BA66" s="244">
        <v>7322</v>
      </c>
      <c r="BB66" s="242">
        <v>0.28318378712871289</v>
      </c>
      <c r="BC66" s="244">
        <v>45</v>
      </c>
      <c r="BD66" s="255">
        <v>1.7404084158415545E-3</v>
      </c>
    </row>
    <row r="67" spans="1:56" ht="17.100000000000001" customHeight="1">
      <c r="A67" s="239" t="s">
        <v>281</v>
      </c>
      <c r="B67" s="240">
        <v>157714</v>
      </c>
      <c r="C67" s="241">
        <v>31116</v>
      </c>
      <c r="D67" s="242">
        <v>0.27734845041046075</v>
      </c>
      <c r="E67" s="243">
        <v>55351</v>
      </c>
      <c r="F67" s="242">
        <v>0.49336399532939362</v>
      </c>
      <c r="G67" s="222"/>
      <c r="H67" s="223"/>
      <c r="I67" s="222"/>
      <c r="J67" s="223"/>
      <c r="K67" s="241">
        <v>2826</v>
      </c>
      <c r="L67" s="242">
        <v>2.5189186298366178E-2</v>
      </c>
      <c r="M67" s="222"/>
      <c r="N67" s="223"/>
      <c r="O67" s="241">
        <v>18389</v>
      </c>
      <c r="P67" s="242">
        <v>0.16390797835833534</v>
      </c>
      <c r="Q67" s="222"/>
      <c r="R67" s="223"/>
      <c r="S67" s="222"/>
      <c r="T67" s="223"/>
      <c r="U67" s="241">
        <v>189</v>
      </c>
      <c r="V67" s="242">
        <v>1.6846271091264006E-3</v>
      </c>
      <c r="W67" s="244">
        <v>107871</v>
      </c>
      <c r="X67" s="242">
        <v>0.9614942375056823</v>
      </c>
      <c r="Y67" s="241">
        <v>3526</v>
      </c>
      <c r="Z67" s="245">
        <v>3.142854596179729E-2</v>
      </c>
      <c r="AA67" s="246">
        <v>111397</v>
      </c>
      <c r="AC67" s="247">
        <v>794</v>
      </c>
      <c r="AD67" s="248">
        <v>7.0772165325204339E-3</v>
      </c>
      <c r="AF67" s="247"/>
      <c r="AG67" s="248">
        <v>0</v>
      </c>
      <c r="AI67" s="240">
        <v>112191</v>
      </c>
      <c r="AJ67" s="268">
        <v>0.71135726695157053</v>
      </c>
      <c r="AL67" s="249" t="s">
        <v>410</v>
      </c>
      <c r="AM67" s="244">
        <v>55351</v>
      </c>
      <c r="AN67" s="250">
        <v>0.49336399532939362</v>
      </c>
      <c r="AO67" s="251">
        <v>2</v>
      </c>
      <c r="AP67" s="251">
        <v>1</v>
      </c>
      <c r="AQ67" s="252"/>
      <c r="AR67" s="252"/>
      <c r="AS67" s="251">
        <v>5</v>
      </c>
      <c r="AT67" s="252"/>
      <c r="AU67" s="251">
        <v>3</v>
      </c>
      <c r="AV67" s="252"/>
      <c r="AW67" s="252"/>
      <c r="AX67" s="253">
        <v>6</v>
      </c>
      <c r="AY67" s="253">
        <v>4</v>
      </c>
      <c r="AZ67" s="254" t="s">
        <v>7</v>
      </c>
      <c r="BA67" s="244">
        <v>31116</v>
      </c>
      <c r="BB67" s="256">
        <v>0.27734845041046075</v>
      </c>
      <c r="BC67" s="244">
        <v>24235</v>
      </c>
      <c r="BD67" s="255">
        <v>0.21601554491893288</v>
      </c>
    </row>
    <row r="68" spans="1:56" ht="17.100000000000001" customHeight="1">
      <c r="A68" s="239" t="s">
        <v>282</v>
      </c>
      <c r="B68" s="240">
        <v>8049</v>
      </c>
      <c r="C68" s="241">
        <v>526</v>
      </c>
      <c r="D68" s="242">
        <v>9.6389957852299799E-2</v>
      </c>
      <c r="E68" s="243">
        <v>1769</v>
      </c>
      <c r="F68" s="242">
        <v>0.32417078981125158</v>
      </c>
      <c r="G68" s="241">
        <v>1010</v>
      </c>
      <c r="H68" s="242">
        <v>0.18508337914605094</v>
      </c>
      <c r="I68" s="241">
        <v>1283</v>
      </c>
      <c r="J68" s="242">
        <v>0.23511086677661719</v>
      </c>
      <c r="K68" s="241">
        <v>712</v>
      </c>
      <c r="L68" s="242">
        <v>0.13047461975444383</v>
      </c>
      <c r="M68" s="222"/>
      <c r="N68" s="223"/>
      <c r="O68" s="222"/>
      <c r="P68" s="223"/>
      <c r="Q68" s="222"/>
      <c r="R68" s="223"/>
      <c r="S68" s="222"/>
      <c r="T68" s="223"/>
      <c r="U68" s="241">
        <v>3</v>
      </c>
      <c r="V68" s="242">
        <v>5.4975261132490382E-4</v>
      </c>
      <c r="W68" s="244">
        <v>5303</v>
      </c>
      <c r="X68" s="242">
        <v>0.97177936595198822</v>
      </c>
      <c r="Y68" s="241">
        <v>154</v>
      </c>
      <c r="Z68" s="245">
        <v>2.8220634048011728E-2</v>
      </c>
      <c r="AA68" s="246">
        <v>5457</v>
      </c>
      <c r="AC68" s="247"/>
      <c r="AD68" s="248">
        <v>0</v>
      </c>
      <c r="AF68" s="247"/>
      <c r="AG68" s="248">
        <v>0</v>
      </c>
      <c r="AI68" s="273">
        <v>5457</v>
      </c>
      <c r="AJ68" s="248">
        <v>0.67797241893402904</v>
      </c>
      <c r="AL68" s="249" t="s">
        <v>410</v>
      </c>
      <c r="AM68" s="244">
        <v>1769</v>
      </c>
      <c r="AN68" s="250">
        <v>0.32417078981125158</v>
      </c>
      <c r="AO68" s="251">
        <v>5</v>
      </c>
      <c r="AP68" s="251">
        <v>1</v>
      </c>
      <c r="AQ68" s="251">
        <v>3</v>
      </c>
      <c r="AR68" s="251">
        <v>2</v>
      </c>
      <c r="AS68" s="251">
        <v>4</v>
      </c>
      <c r="AT68" s="252"/>
      <c r="AU68" s="252"/>
      <c r="AV68" s="252"/>
      <c r="AW68" s="252"/>
      <c r="AX68" s="253">
        <v>7</v>
      </c>
      <c r="AY68" s="253">
        <v>6</v>
      </c>
      <c r="AZ68" s="254" t="s">
        <v>11</v>
      </c>
      <c r="BA68" s="244">
        <v>1283</v>
      </c>
      <c r="BB68" s="242">
        <v>0.23511086677661719</v>
      </c>
      <c r="BC68" s="244">
        <v>486</v>
      </c>
      <c r="BD68" s="255">
        <v>8.9059923034634392E-2</v>
      </c>
    </row>
    <row r="69" spans="1:56" ht="17.100000000000001" customHeight="1">
      <c r="A69" s="239" t="s">
        <v>284</v>
      </c>
      <c r="B69" s="240">
        <v>19112</v>
      </c>
      <c r="C69" s="222"/>
      <c r="D69" s="223"/>
      <c r="E69" s="243">
        <v>6783</v>
      </c>
      <c r="F69" s="242">
        <v>0.47513309050154107</v>
      </c>
      <c r="G69" s="241">
        <v>431</v>
      </c>
      <c r="H69" s="242">
        <v>3.0190529560100869E-2</v>
      </c>
      <c r="I69" s="241">
        <v>357</v>
      </c>
      <c r="J69" s="242">
        <v>2.5007004763239003E-2</v>
      </c>
      <c r="K69" s="241">
        <v>5802</v>
      </c>
      <c r="L69" s="242">
        <v>0.40641636312692631</v>
      </c>
      <c r="M69" s="222"/>
      <c r="N69" s="223"/>
      <c r="O69" s="222"/>
      <c r="P69" s="223"/>
      <c r="Q69" s="222"/>
      <c r="R69" s="223"/>
      <c r="S69" s="222"/>
      <c r="T69" s="223"/>
      <c r="U69" s="241">
        <v>13</v>
      </c>
      <c r="V69" s="242">
        <v>9.1061922107032783E-4</v>
      </c>
      <c r="W69" s="244">
        <v>13386</v>
      </c>
      <c r="X69" s="242">
        <v>0.93765760717287761</v>
      </c>
      <c r="Y69" s="241">
        <v>890</v>
      </c>
      <c r="Z69" s="245">
        <v>6.2342392827122443E-2</v>
      </c>
      <c r="AA69" s="246">
        <v>14276</v>
      </c>
      <c r="AC69" s="247"/>
      <c r="AD69" s="248">
        <v>0</v>
      </c>
      <c r="AF69" s="247"/>
      <c r="AG69" s="248">
        <v>0</v>
      </c>
      <c r="AI69" s="240">
        <v>14276</v>
      </c>
      <c r="AJ69" s="248">
        <v>0.74696525742988695</v>
      </c>
      <c r="AL69" s="249" t="s">
        <v>410</v>
      </c>
      <c r="AM69" s="244">
        <v>6783</v>
      </c>
      <c r="AN69" s="250">
        <v>0.47513309050154107</v>
      </c>
      <c r="AO69" s="252"/>
      <c r="AP69" s="251">
        <v>1</v>
      </c>
      <c r="AQ69" s="251">
        <v>4</v>
      </c>
      <c r="AR69" s="251">
        <v>5</v>
      </c>
      <c r="AS69" s="251">
        <v>2</v>
      </c>
      <c r="AT69" s="252"/>
      <c r="AU69" s="252"/>
      <c r="AV69" s="252"/>
      <c r="AW69" s="252"/>
      <c r="AX69" s="253">
        <v>6</v>
      </c>
      <c r="AY69" s="253">
        <v>3</v>
      </c>
      <c r="AZ69" s="254" t="s">
        <v>411</v>
      </c>
      <c r="BA69" s="244">
        <v>5802</v>
      </c>
      <c r="BB69" s="242">
        <v>0.40641636312692631</v>
      </c>
      <c r="BC69" s="244">
        <v>981</v>
      </c>
      <c r="BD69" s="255">
        <v>6.8716727374614761E-2</v>
      </c>
    </row>
    <row r="70" spans="1:56" ht="17.100000000000001" customHeight="1">
      <c r="A70" s="239" t="s">
        <v>285</v>
      </c>
      <c r="B70" s="240">
        <v>651566</v>
      </c>
      <c r="C70" s="241">
        <v>125647</v>
      </c>
      <c r="D70" s="242">
        <v>0.31008178556092458</v>
      </c>
      <c r="E70" s="243">
        <v>166193</v>
      </c>
      <c r="F70" s="242">
        <v>0.41014446972650948</v>
      </c>
      <c r="G70" s="241">
        <v>71796</v>
      </c>
      <c r="H70" s="242">
        <v>0.17718395087930583</v>
      </c>
      <c r="I70" s="241">
        <v>9922</v>
      </c>
      <c r="J70" s="242">
        <v>2.4486310666673249E-2</v>
      </c>
      <c r="K70" s="241">
        <v>7861</v>
      </c>
      <c r="L70" s="242">
        <v>1.9400008884369924E-2</v>
      </c>
      <c r="M70" s="222"/>
      <c r="N70" s="223"/>
      <c r="O70" s="222"/>
      <c r="P70" s="223"/>
      <c r="Q70" s="222"/>
      <c r="R70" s="223"/>
      <c r="S70" s="222"/>
      <c r="T70" s="223"/>
      <c r="U70" s="241">
        <v>313</v>
      </c>
      <c r="V70" s="242">
        <v>7.7244660740462875E-4</v>
      </c>
      <c r="W70" s="244">
        <v>381732</v>
      </c>
      <c r="X70" s="242">
        <v>0.94206897232518771</v>
      </c>
      <c r="Y70" s="241">
        <v>23474</v>
      </c>
      <c r="Z70" s="245">
        <v>5.793102767481232E-2</v>
      </c>
      <c r="AA70" s="246">
        <v>405206</v>
      </c>
      <c r="AC70" s="247"/>
      <c r="AD70" s="248">
        <v>0</v>
      </c>
      <c r="AF70" s="247"/>
      <c r="AG70" s="248">
        <v>0</v>
      </c>
      <c r="AI70" s="240">
        <v>405206</v>
      </c>
      <c r="AJ70" s="248">
        <v>0.621895556244494</v>
      </c>
      <c r="AL70" s="249" t="s">
        <v>410</v>
      </c>
      <c r="AM70" s="244">
        <v>166193</v>
      </c>
      <c r="AN70" s="250">
        <v>0.41014446972650948</v>
      </c>
      <c r="AO70" s="251">
        <v>2</v>
      </c>
      <c r="AP70" s="251">
        <v>1</v>
      </c>
      <c r="AQ70" s="251">
        <v>3</v>
      </c>
      <c r="AR70" s="251">
        <v>5</v>
      </c>
      <c r="AS70" s="251">
        <v>6</v>
      </c>
      <c r="AT70" s="252"/>
      <c r="AU70" s="252"/>
      <c r="AV70" s="252"/>
      <c r="AW70" s="252"/>
      <c r="AX70" s="253">
        <v>7</v>
      </c>
      <c r="AY70" s="253">
        <v>4</v>
      </c>
      <c r="AZ70" s="254" t="s">
        <v>7</v>
      </c>
      <c r="BA70" s="244">
        <v>125647</v>
      </c>
      <c r="BB70" s="242">
        <v>0.31008178556092458</v>
      </c>
      <c r="BC70" s="244">
        <v>40546</v>
      </c>
      <c r="BD70" s="255">
        <v>0.10006268416558489</v>
      </c>
    </row>
    <row r="71" spans="1:56" ht="17.100000000000001" customHeight="1">
      <c r="A71" s="239" t="s">
        <v>286</v>
      </c>
      <c r="B71" s="240">
        <v>17364</v>
      </c>
      <c r="C71" s="241">
        <v>3562</v>
      </c>
      <c r="D71" s="242">
        <v>0.29621621621621624</v>
      </c>
      <c r="E71" s="243">
        <v>3256</v>
      </c>
      <c r="F71" s="242">
        <v>0.27076923076923076</v>
      </c>
      <c r="G71" s="222"/>
      <c r="H71" s="223"/>
      <c r="I71" s="241">
        <v>1713</v>
      </c>
      <c r="J71" s="242">
        <v>0.14245322245322245</v>
      </c>
      <c r="K71" s="222"/>
      <c r="L71" s="223"/>
      <c r="M71" s="222"/>
      <c r="N71" s="223"/>
      <c r="O71" s="262"/>
      <c r="P71" s="223"/>
      <c r="Q71" s="260">
        <v>3080</v>
      </c>
      <c r="R71" s="242">
        <v>0.25613305613305615</v>
      </c>
      <c r="S71" s="222"/>
      <c r="T71" s="223"/>
      <c r="U71" s="241">
        <v>4</v>
      </c>
      <c r="V71" s="242">
        <v>3.3264033264033264E-4</v>
      </c>
      <c r="W71" s="244">
        <v>11615</v>
      </c>
      <c r="X71" s="242">
        <v>0.9659043659043659</v>
      </c>
      <c r="Y71" s="241">
        <v>410</v>
      </c>
      <c r="Z71" s="245">
        <v>3.4095634095634098E-2</v>
      </c>
      <c r="AA71" s="246">
        <v>12025</v>
      </c>
      <c r="AC71" s="247"/>
      <c r="AD71" s="248">
        <v>0</v>
      </c>
      <c r="AF71" s="247"/>
      <c r="AG71" s="248">
        <v>0</v>
      </c>
      <c r="AI71" s="264">
        <v>12025</v>
      </c>
      <c r="AJ71" s="248">
        <v>0.69252476387929052</v>
      </c>
      <c r="AL71" s="249" t="s">
        <v>7</v>
      </c>
      <c r="AM71" s="244">
        <v>3562</v>
      </c>
      <c r="AN71" s="250">
        <v>0.29621621621621624</v>
      </c>
      <c r="AO71" s="251">
        <v>1</v>
      </c>
      <c r="AP71" s="251">
        <v>2</v>
      </c>
      <c r="AQ71" s="251"/>
      <c r="AR71" s="251">
        <v>4</v>
      </c>
      <c r="AS71" s="251"/>
      <c r="AT71" s="252"/>
      <c r="AU71" s="252"/>
      <c r="AV71" s="251">
        <v>3</v>
      </c>
      <c r="AW71" s="252"/>
      <c r="AX71" s="253">
        <v>6</v>
      </c>
      <c r="AY71" s="253">
        <v>5</v>
      </c>
      <c r="AZ71" s="254" t="s">
        <v>410</v>
      </c>
      <c r="BA71" s="244">
        <v>3256</v>
      </c>
      <c r="BB71" s="242">
        <v>0.27076923076923076</v>
      </c>
      <c r="BC71" s="244">
        <v>306</v>
      </c>
      <c r="BD71" s="255">
        <v>2.5446985446985482E-2</v>
      </c>
    </row>
    <row r="72" spans="1:56" ht="17.100000000000001" customHeight="1">
      <c r="A72" s="239" t="s">
        <v>441</v>
      </c>
      <c r="B72" s="240">
        <v>854981</v>
      </c>
      <c r="C72" s="241">
        <v>50760</v>
      </c>
      <c r="D72" s="242">
        <v>9.7816472710244712E-2</v>
      </c>
      <c r="E72" s="243">
        <v>191286</v>
      </c>
      <c r="F72" s="242">
        <v>0.36861548067084066</v>
      </c>
      <c r="G72" s="241">
        <v>192903</v>
      </c>
      <c r="H72" s="242">
        <v>0.37173150187597193</v>
      </c>
      <c r="I72" s="241">
        <v>15081</v>
      </c>
      <c r="J72" s="242">
        <v>2.9061667158061476E-2</v>
      </c>
      <c r="K72" s="241">
        <v>25955</v>
      </c>
      <c r="L72" s="242">
        <v>5.0016283475067015E-2</v>
      </c>
      <c r="M72" s="222"/>
      <c r="N72" s="274"/>
      <c r="O72" s="222"/>
      <c r="P72" s="275"/>
      <c r="Q72" s="222"/>
      <c r="R72" s="267"/>
      <c r="S72" s="222"/>
      <c r="T72" s="223"/>
      <c r="U72" s="241">
        <v>630</v>
      </c>
      <c r="V72" s="242">
        <v>1.2140342357654485E-3</v>
      </c>
      <c r="W72" s="244">
        <v>476615</v>
      </c>
      <c r="X72" s="242">
        <v>0.91845544012595126</v>
      </c>
      <c r="Y72" s="241">
        <v>42316</v>
      </c>
      <c r="Z72" s="245">
        <v>8.1544559874048766E-2</v>
      </c>
      <c r="AA72" s="246">
        <v>518931</v>
      </c>
      <c r="AC72" s="247"/>
      <c r="AD72" s="248">
        <v>0</v>
      </c>
      <c r="AF72" s="247"/>
      <c r="AG72" s="248">
        <v>0</v>
      </c>
      <c r="AI72" s="240">
        <v>518931</v>
      </c>
      <c r="AJ72" s="268">
        <v>0.60695032989037179</v>
      </c>
      <c r="AL72" s="249" t="s">
        <v>10</v>
      </c>
      <c r="AM72" s="244">
        <v>192903</v>
      </c>
      <c r="AN72" s="250">
        <v>0.37173150187597193</v>
      </c>
      <c r="AO72" s="251">
        <v>3</v>
      </c>
      <c r="AP72" s="251">
        <v>2</v>
      </c>
      <c r="AQ72" s="251">
        <v>1</v>
      </c>
      <c r="AR72" s="251">
        <v>6</v>
      </c>
      <c r="AS72" s="251">
        <v>5</v>
      </c>
      <c r="AT72" s="252"/>
      <c r="AU72" s="252"/>
      <c r="AV72" s="252"/>
      <c r="AW72" s="252"/>
      <c r="AX72" s="253">
        <v>7</v>
      </c>
      <c r="AY72" s="253">
        <v>4</v>
      </c>
      <c r="AZ72" s="254" t="s">
        <v>410</v>
      </c>
      <c r="BA72" s="244">
        <v>191286</v>
      </c>
      <c r="BB72" s="256">
        <v>0.36861548067084066</v>
      </c>
      <c r="BC72" s="244">
        <v>1617</v>
      </c>
      <c r="BD72" s="255">
        <v>3.1160212051312697E-3</v>
      </c>
    </row>
    <row r="73" spans="1:56" ht="17.100000000000001" customHeight="1">
      <c r="A73" s="239" t="s">
        <v>289</v>
      </c>
      <c r="B73" s="240">
        <v>240350</v>
      </c>
      <c r="C73" s="241">
        <v>38269</v>
      </c>
      <c r="D73" s="242">
        <v>0.26120401337792643</v>
      </c>
      <c r="E73" s="243">
        <v>54584</v>
      </c>
      <c r="F73" s="242">
        <v>0.37256159989079246</v>
      </c>
      <c r="G73" s="222"/>
      <c r="H73" s="223"/>
      <c r="I73" s="222"/>
      <c r="J73" s="223"/>
      <c r="K73" s="241">
        <v>11938</v>
      </c>
      <c r="L73" s="242">
        <v>8.1482492662616882E-2</v>
      </c>
      <c r="M73" s="222"/>
      <c r="N73" s="223"/>
      <c r="O73" s="269">
        <v>33982</v>
      </c>
      <c r="P73" s="242">
        <v>0.23194321206743568</v>
      </c>
      <c r="Q73" s="271"/>
      <c r="R73" s="223"/>
      <c r="S73" s="222"/>
      <c r="T73" s="223"/>
      <c r="U73" s="241">
        <v>112</v>
      </c>
      <c r="V73" s="242">
        <v>7.6445293836598181E-4</v>
      </c>
      <c r="W73" s="244">
        <v>138885</v>
      </c>
      <c r="X73" s="242">
        <v>0.94795577093713734</v>
      </c>
      <c r="Y73" s="241">
        <v>7625</v>
      </c>
      <c r="Z73" s="245">
        <v>5.2044229062862601E-2</v>
      </c>
      <c r="AA73" s="246">
        <v>146510</v>
      </c>
      <c r="AC73" s="247"/>
      <c r="AD73" s="248">
        <v>0</v>
      </c>
      <c r="AF73" s="247"/>
      <c r="AG73" s="248">
        <v>0</v>
      </c>
      <c r="AI73" s="273">
        <v>146510</v>
      </c>
      <c r="AJ73" s="248">
        <v>0.60956937799043065</v>
      </c>
      <c r="AL73" s="249" t="s">
        <v>410</v>
      </c>
      <c r="AM73" s="244">
        <v>54584</v>
      </c>
      <c r="AN73" s="250">
        <v>0.37256159989079246</v>
      </c>
      <c r="AO73" s="251">
        <v>2</v>
      </c>
      <c r="AP73" s="251">
        <v>1</v>
      </c>
      <c r="AQ73" s="252"/>
      <c r="AR73" s="252"/>
      <c r="AS73" s="251">
        <v>4</v>
      </c>
      <c r="AT73" s="252"/>
      <c r="AU73" s="251">
        <v>3</v>
      </c>
      <c r="AV73" s="252"/>
      <c r="AW73" s="252"/>
      <c r="AX73" s="253">
        <v>6</v>
      </c>
      <c r="AY73" s="253">
        <v>5</v>
      </c>
      <c r="AZ73" s="254" t="s">
        <v>7</v>
      </c>
      <c r="BA73" s="244">
        <v>38269</v>
      </c>
      <c r="BB73" s="242">
        <v>0.26120401337792643</v>
      </c>
      <c r="BC73" s="244">
        <v>16315</v>
      </c>
      <c r="BD73" s="255">
        <v>0.11135758651286604</v>
      </c>
    </row>
    <row r="74" spans="1:56" ht="17.100000000000001" customHeight="1">
      <c r="A74" s="239" t="s">
        <v>290</v>
      </c>
      <c r="B74" s="240">
        <v>6497</v>
      </c>
      <c r="C74" s="241">
        <v>2289</v>
      </c>
      <c r="D74" s="242">
        <v>0.42146934266249308</v>
      </c>
      <c r="E74" s="243">
        <v>2876</v>
      </c>
      <c r="F74" s="242">
        <v>0.52955256858773703</v>
      </c>
      <c r="G74" s="241">
        <v>127</v>
      </c>
      <c r="H74" s="242">
        <v>2.3384275455717179E-2</v>
      </c>
      <c r="I74" s="222"/>
      <c r="J74" s="223"/>
      <c r="K74" s="222"/>
      <c r="L74" s="223"/>
      <c r="M74" s="222"/>
      <c r="N74" s="223"/>
      <c r="O74" s="222"/>
      <c r="P74" s="223"/>
      <c r="Q74" s="222"/>
      <c r="R74" s="223"/>
      <c r="S74" s="222"/>
      <c r="T74" s="223"/>
      <c r="U74" s="241">
        <v>7</v>
      </c>
      <c r="V74" s="242">
        <v>1.2888970723623642E-3</v>
      </c>
      <c r="W74" s="244">
        <v>5299</v>
      </c>
      <c r="X74" s="242">
        <v>0.97569508377830971</v>
      </c>
      <c r="Y74" s="241">
        <v>132</v>
      </c>
      <c r="Z74" s="245">
        <v>2.4304916221690297E-2</v>
      </c>
      <c r="AA74" s="246">
        <v>5431</v>
      </c>
      <c r="AC74" s="247"/>
      <c r="AD74" s="248">
        <v>0</v>
      </c>
      <c r="AF74" s="247"/>
      <c r="AG74" s="248">
        <v>0</v>
      </c>
      <c r="AI74" s="240">
        <v>5431</v>
      </c>
      <c r="AJ74" s="248">
        <v>0.83592427274126524</v>
      </c>
      <c r="AL74" s="249" t="s">
        <v>410</v>
      </c>
      <c r="AM74" s="244">
        <v>2876</v>
      </c>
      <c r="AN74" s="250">
        <v>0.52955256858773703</v>
      </c>
      <c r="AO74" s="251">
        <v>2</v>
      </c>
      <c r="AP74" s="251">
        <v>1</v>
      </c>
      <c r="AQ74" s="251">
        <v>4</v>
      </c>
      <c r="AR74" s="252"/>
      <c r="AS74" s="252"/>
      <c r="AT74" s="252"/>
      <c r="AU74" s="252"/>
      <c r="AV74" s="252"/>
      <c r="AW74" s="252"/>
      <c r="AX74" s="253">
        <v>5</v>
      </c>
      <c r="AY74" s="253">
        <v>3</v>
      </c>
      <c r="AZ74" s="254" t="s">
        <v>7</v>
      </c>
      <c r="BA74" s="244">
        <v>2289</v>
      </c>
      <c r="BB74" s="256">
        <v>0.42146934266249308</v>
      </c>
      <c r="BC74" s="244">
        <v>587</v>
      </c>
      <c r="BD74" s="255">
        <v>0.10808322592524394</v>
      </c>
    </row>
    <row r="75" spans="1:56" ht="17.100000000000001" customHeight="1">
      <c r="A75" s="239" t="s">
        <v>442</v>
      </c>
      <c r="B75" s="240">
        <v>38755</v>
      </c>
      <c r="C75" s="241">
        <v>3979</v>
      </c>
      <c r="D75" s="242">
        <v>0.14243270332187857</v>
      </c>
      <c r="E75" s="243">
        <v>9955</v>
      </c>
      <c r="F75" s="242">
        <v>0.35635022909507447</v>
      </c>
      <c r="G75" s="222"/>
      <c r="H75" s="223"/>
      <c r="I75" s="222"/>
      <c r="J75" s="223"/>
      <c r="K75" s="241">
        <v>6780</v>
      </c>
      <c r="L75" s="242">
        <v>0.24269759450171821</v>
      </c>
      <c r="M75" s="222"/>
      <c r="N75" s="223"/>
      <c r="O75" s="241">
        <v>6228</v>
      </c>
      <c r="P75" s="242">
        <v>0.22293814432989692</v>
      </c>
      <c r="Q75" s="222"/>
      <c r="R75" s="223"/>
      <c r="S75" s="222"/>
      <c r="T75" s="223"/>
      <c r="U75" s="241">
        <v>58</v>
      </c>
      <c r="V75" s="242">
        <v>2.0761741122565865E-3</v>
      </c>
      <c r="W75" s="244">
        <v>27000</v>
      </c>
      <c r="X75" s="242">
        <v>0.96649484536082475</v>
      </c>
      <c r="Y75" s="241">
        <v>936</v>
      </c>
      <c r="Z75" s="245">
        <v>3.3505154639175257E-2</v>
      </c>
      <c r="AA75" s="246">
        <v>27936</v>
      </c>
      <c r="AC75" s="247"/>
      <c r="AD75" s="248">
        <v>0</v>
      </c>
      <c r="AF75" s="247"/>
      <c r="AG75" s="248">
        <v>0</v>
      </c>
      <c r="AI75" s="240">
        <v>27936</v>
      </c>
      <c r="AJ75" s="248">
        <v>0.72083602115856016</v>
      </c>
      <c r="AL75" s="249" t="s">
        <v>410</v>
      </c>
      <c r="AM75" s="244">
        <v>9955</v>
      </c>
      <c r="AN75" s="250">
        <v>0.35635022909507447</v>
      </c>
      <c r="AO75" s="251">
        <v>4</v>
      </c>
      <c r="AP75" s="251">
        <v>1</v>
      </c>
      <c r="AQ75" s="252"/>
      <c r="AR75" s="252"/>
      <c r="AS75" s="251">
        <v>2</v>
      </c>
      <c r="AT75" s="252"/>
      <c r="AU75" s="251">
        <v>3</v>
      </c>
      <c r="AV75" s="252"/>
      <c r="AW75" s="252"/>
      <c r="AX75" s="253">
        <v>6</v>
      </c>
      <c r="AY75" s="253">
        <v>5</v>
      </c>
      <c r="AZ75" s="254" t="s">
        <v>411</v>
      </c>
      <c r="BA75" s="244">
        <v>6780</v>
      </c>
      <c r="BB75" s="242">
        <v>0.24269759450171821</v>
      </c>
      <c r="BC75" s="244">
        <v>3175</v>
      </c>
      <c r="BD75" s="255">
        <v>0.11365263459335626</v>
      </c>
    </row>
    <row r="76" spans="1:56" ht="17.100000000000001" customHeight="1">
      <c r="A76" s="239" t="s">
        <v>292</v>
      </c>
      <c r="B76" s="240">
        <v>18118</v>
      </c>
      <c r="C76" s="241">
        <v>3582</v>
      </c>
      <c r="D76" s="242">
        <v>0.26159351493463812</v>
      </c>
      <c r="E76" s="243">
        <v>5549</v>
      </c>
      <c r="F76" s="242">
        <v>0.40524355510114657</v>
      </c>
      <c r="G76" s="241">
        <v>3243</v>
      </c>
      <c r="H76" s="242">
        <v>0.23683633973563134</v>
      </c>
      <c r="I76" s="241">
        <v>408</v>
      </c>
      <c r="J76" s="242">
        <v>2.9796246257211716E-2</v>
      </c>
      <c r="K76" s="241">
        <v>30</v>
      </c>
      <c r="L76" s="242">
        <v>2.1909004600890966E-3</v>
      </c>
      <c r="M76" s="222"/>
      <c r="N76" s="222"/>
      <c r="O76" s="222"/>
      <c r="P76" s="223"/>
      <c r="Q76" s="222"/>
      <c r="R76" s="223"/>
      <c r="S76" s="222"/>
      <c r="T76" s="223"/>
      <c r="U76" s="241">
        <v>7</v>
      </c>
      <c r="V76" s="242">
        <v>5.1121010735412256E-4</v>
      </c>
      <c r="W76" s="244">
        <v>12819</v>
      </c>
      <c r="X76" s="242">
        <v>0.93617176659607093</v>
      </c>
      <c r="Y76" s="241">
        <v>874</v>
      </c>
      <c r="Z76" s="245">
        <v>6.3828233403929013E-2</v>
      </c>
      <c r="AA76" s="246">
        <v>13693</v>
      </c>
      <c r="AC76" s="247"/>
      <c r="AD76" s="248">
        <v>0</v>
      </c>
      <c r="AF76" s="247"/>
      <c r="AG76" s="248">
        <v>0</v>
      </c>
      <c r="AI76" s="240">
        <v>13693</v>
      </c>
      <c r="AJ76" s="248">
        <v>0.75576774478419251</v>
      </c>
      <c r="AL76" s="249" t="s">
        <v>410</v>
      </c>
      <c r="AM76" s="244">
        <v>5549</v>
      </c>
      <c r="AN76" s="250">
        <v>0.40524355510114657</v>
      </c>
      <c r="AO76" s="251">
        <v>2</v>
      </c>
      <c r="AP76" s="251">
        <v>1</v>
      </c>
      <c r="AQ76" s="251">
        <v>3</v>
      </c>
      <c r="AR76" s="251">
        <v>5</v>
      </c>
      <c r="AS76" s="251">
        <v>6</v>
      </c>
      <c r="AT76" s="252"/>
      <c r="AU76" s="252"/>
      <c r="AV76" s="252"/>
      <c r="AW76" s="252"/>
      <c r="AX76" s="253">
        <v>7</v>
      </c>
      <c r="AY76" s="253">
        <v>4</v>
      </c>
      <c r="AZ76" s="254" t="s">
        <v>7</v>
      </c>
      <c r="BA76" s="244">
        <v>3582</v>
      </c>
      <c r="BB76" s="242">
        <v>0.26159351493463812</v>
      </c>
      <c r="BC76" s="244">
        <v>1967</v>
      </c>
      <c r="BD76" s="255">
        <v>0.14365004016650845</v>
      </c>
    </row>
    <row r="77" spans="1:56" ht="17.100000000000001" customHeight="1">
      <c r="A77" s="239" t="s">
        <v>293</v>
      </c>
      <c r="B77" s="240">
        <v>22999</v>
      </c>
      <c r="C77" s="241">
        <v>4401</v>
      </c>
      <c r="D77" s="242">
        <v>0.26846824864271335</v>
      </c>
      <c r="E77" s="243">
        <v>7090</v>
      </c>
      <c r="F77" s="242">
        <v>0.43250167754529373</v>
      </c>
      <c r="G77" s="241">
        <v>2297</v>
      </c>
      <c r="H77" s="242">
        <v>0.14012078326114805</v>
      </c>
      <c r="I77" s="241">
        <v>178</v>
      </c>
      <c r="J77" s="242">
        <v>1.0858293173915696E-2</v>
      </c>
      <c r="K77" s="241">
        <v>1491</v>
      </c>
      <c r="L77" s="242">
        <v>9.0953455743305073E-2</v>
      </c>
      <c r="M77" s="222"/>
      <c r="N77" s="223"/>
      <c r="O77" s="222"/>
      <c r="P77" s="223"/>
      <c r="Q77" s="222"/>
      <c r="R77" s="223"/>
      <c r="S77" s="222"/>
      <c r="T77" s="223"/>
      <c r="U77" s="241">
        <v>12</v>
      </c>
      <c r="V77" s="242">
        <v>7.3201976453364243E-4</v>
      </c>
      <c r="W77" s="244">
        <v>15469</v>
      </c>
      <c r="X77" s="242">
        <v>0.9436344781309095</v>
      </c>
      <c r="Y77" s="241">
        <v>924</v>
      </c>
      <c r="Z77" s="245">
        <v>5.6365521869090468E-2</v>
      </c>
      <c r="AA77" s="246">
        <v>16393</v>
      </c>
      <c r="AC77" s="247"/>
      <c r="AD77" s="248">
        <v>0</v>
      </c>
      <c r="AF77" s="247"/>
      <c r="AG77" s="248">
        <v>0</v>
      </c>
      <c r="AI77" s="240">
        <v>16393</v>
      </c>
      <c r="AJ77" s="248">
        <v>0.71277012044001908</v>
      </c>
      <c r="AL77" s="249" t="s">
        <v>410</v>
      </c>
      <c r="AM77" s="244">
        <v>7090</v>
      </c>
      <c r="AN77" s="250">
        <v>0.43250167754529373</v>
      </c>
      <c r="AO77" s="251">
        <v>2</v>
      </c>
      <c r="AP77" s="251">
        <v>1</v>
      </c>
      <c r="AQ77" s="251">
        <v>3</v>
      </c>
      <c r="AR77" s="251">
        <v>6</v>
      </c>
      <c r="AS77" s="251">
        <v>4</v>
      </c>
      <c r="AT77" s="252"/>
      <c r="AU77" s="252"/>
      <c r="AV77" s="252"/>
      <c r="AW77" s="252"/>
      <c r="AX77" s="253">
        <v>7</v>
      </c>
      <c r="AY77" s="253">
        <v>5</v>
      </c>
      <c r="AZ77" s="254" t="s">
        <v>7</v>
      </c>
      <c r="BA77" s="244">
        <v>4401</v>
      </c>
      <c r="BB77" s="242">
        <v>0.26846824864271335</v>
      </c>
      <c r="BC77" s="244">
        <v>2689</v>
      </c>
      <c r="BD77" s="255">
        <v>0.16403342890258038</v>
      </c>
    </row>
    <row r="78" spans="1:56" ht="17.100000000000001" customHeight="1">
      <c r="A78" s="239" t="s">
        <v>294</v>
      </c>
      <c r="B78" s="240">
        <v>22831</v>
      </c>
      <c r="C78" s="241">
        <v>8246</v>
      </c>
      <c r="D78" s="242">
        <v>0.49653760462455593</v>
      </c>
      <c r="E78" s="243">
        <v>6052</v>
      </c>
      <c r="F78" s="242">
        <v>0.36442464021195881</v>
      </c>
      <c r="G78" s="241">
        <v>1269</v>
      </c>
      <c r="H78" s="242">
        <v>7.6413560546757395E-2</v>
      </c>
      <c r="I78" s="241">
        <v>218</v>
      </c>
      <c r="J78" s="242">
        <v>1.3126994640814115E-2</v>
      </c>
      <c r="K78" s="241">
        <v>212</v>
      </c>
      <c r="L78" s="242">
        <v>1.2765701210332991E-2</v>
      </c>
      <c r="M78" s="222"/>
      <c r="N78" s="223"/>
      <c r="O78" s="222"/>
      <c r="P78" s="223"/>
      <c r="Q78" s="222"/>
      <c r="R78" s="223"/>
      <c r="S78" s="222"/>
      <c r="T78" s="223"/>
      <c r="U78" s="241">
        <v>9</v>
      </c>
      <c r="V78" s="242">
        <v>5.4194014572168361E-4</v>
      </c>
      <c r="W78" s="244">
        <v>16006</v>
      </c>
      <c r="X78" s="242">
        <v>0.96381044138014094</v>
      </c>
      <c r="Y78" s="241">
        <v>601</v>
      </c>
      <c r="Z78" s="245">
        <v>3.6189558619859098E-2</v>
      </c>
      <c r="AA78" s="246">
        <v>16607</v>
      </c>
      <c r="AC78" s="247"/>
      <c r="AD78" s="248">
        <v>0</v>
      </c>
      <c r="AF78" s="247"/>
      <c r="AG78" s="248">
        <v>0</v>
      </c>
      <c r="AI78" s="240">
        <v>16607</v>
      </c>
      <c r="AJ78" s="248">
        <v>0.72738820025404061</v>
      </c>
      <c r="AL78" s="249" t="s">
        <v>7</v>
      </c>
      <c r="AM78" s="244">
        <v>8246</v>
      </c>
      <c r="AN78" s="250">
        <v>0.49653760462455593</v>
      </c>
      <c r="AO78" s="251">
        <v>1</v>
      </c>
      <c r="AP78" s="251">
        <v>2</v>
      </c>
      <c r="AQ78" s="251">
        <v>3</v>
      </c>
      <c r="AR78" s="251">
        <v>5</v>
      </c>
      <c r="AS78" s="251">
        <v>6</v>
      </c>
      <c r="AT78" s="252"/>
      <c r="AU78" s="252"/>
      <c r="AV78" s="252"/>
      <c r="AW78" s="252"/>
      <c r="AX78" s="253">
        <v>7</v>
      </c>
      <c r="AY78" s="253">
        <v>4</v>
      </c>
      <c r="AZ78" s="254" t="s">
        <v>410</v>
      </c>
      <c r="BA78" s="244">
        <v>6052</v>
      </c>
      <c r="BB78" s="242">
        <v>0.36442464021195881</v>
      </c>
      <c r="BC78" s="244">
        <v>2194</v>
      </c>
      <c r="BD78" s="255">
        <v>0.13211296441259712</v>
      </c>
    </row>
    <row r="79" spans="1:56" ht="17.100000000000001" customHeight="1">
      <c r="A79" s="239" t="s">
        <v>295</v>
      </c>
      <c r="B79" s="240">
        <v>3908</v>
      </c>
      <c r="C79" s="241">
        <v>154</v>
      </c>
      <c r="D79" s="242">
        <v>4.8019956345494233E-2</v>
      </c>
      <c r="E79" s="243">
        <v>1805</v>
      </c>
      <c r="F79" s="242">
        <v>0.56283130651699409</v>
      </c>
      <c r="G79" s="222"/>
      <c r="H79" s="223"/>
      <c r="I79" s="222"/>
      <c r="J79" s="223"/>
      <c r="K79" s="241">
        <v>13</v>
      </c>
      <c r="L79" s="242">
        <v>4.0536326785157468E-3</v>
      </c>
      <c r="M79" s="222"/>
      <c r="N79" s="222"/>
      <c r="O79" s="241">
        <v>1135</v>
      </c>
      <c r="P79" s="242">
        <v>0.35391331462425946</v>
      </c>
      <c r="Q79" s="222"/>
      <c r="R79" s="223"/>
      <c r="S79" s="222"/>
      <c r="T79" s="223"/>
      <c r="U79" s="241">
        <v>0</v>
      </c>
      <c r="V79" s="242">
        <v>0</v>
      </c>
      <c r="W79" s="244">
        <v>3107</v>
      </c>
      <c r="X79" s="242">
        <v>0.96881821016526348</v>
      </c>
      <c r="Y79" s="241">
        <v>100</v>
      </c>
      <c r="Z79" s="245">
        <v>3.1181789834736514E-2</v>
      </c>
      <c r="AA79" s="246">
        <v>3207</v>
      </c>
      <c r="AC79" s="247"/>
      <c r="AD79" s="248">
        <v>0</v>
      </c>
      <c r="AF79" s="247"/>
      <c r="AG79" s="248">
        <v>0</v>
      </c>
      <c r="AI79" s="240">
        <v>3207</v>
      </c>
      <c r="AJ79" s="248">
        <v>0.82062436028659158</v>
      </c>
      <c r="AL79" s="249" t="s">
        <v>410</v>
      </c>
      <c r="AM79" s="244">
        <v>1805</v>
      </c>
      <c r="AN79" s="250">
        <v>0.56283130651699409</v>
      </c>
      <c r="AO79" s="251">
        <v>3</v>
      </c>
      <c r="AP79" s="251">
        <v>1</v>
      </c>
      <c r="AQ79" s="251">
        <v>6</v>
      </c>
      <c r="AR79" s="251">
        <v>6</v>
      </c>
      <c r="AS79" s="251">
        <v>5</v>
      </c>
      <c r="AT79" s="251">
        <v>6</v>
      </c>
      <c r="AU79" s="251">
        <v>2</v>
      </c>
      <c r="AV79" s="251">
        <v>6</v>
      </c>
      <c r="AW79" s="251">
        <v>6</v>
      </c>
      <c r="AX79" s="253">
        <v>6</v>
      </c>
      <c r="AY79" s="253">
        <v>4</v>
      </c>
      <c r="AZ79" s="254" t="s">
        <v>256</v>
      </c>
      <c r="BA79" s="244">
        <v>1135</v>
      </c>
      <c r="BB79" s="256">
        <v>0.35391331462425946</v>
      </c>
      <c r="BC79" s="244">
        <v>670</v>
      </c>
      <c r="BD79" s="255">
        <v>0.20891799189273463</v>
      </c>
    </row>
    <row r="80" spans="1:56" ht="17.100000000000001" customHeight="1">
      <c r="A80" s="239" t="s">
        <v>296</v>
      </c>
      <c r="B80" s="240">
        <v>45758</v>
      </c>
      <c r="C80" s="241">
        <v>6486</v>
      </c>
      <c r="D80" s="242">
        <v>0.20350789118634496</v>
      </c>
      <c r="E80" s="243">
        <v>12825</v>
      </c>
      <c r="F80" s="242">
        <v>0.40240343886291613</v>
      </c>
      <c r="G80" s="241">
        <v>3383</v>
      </c>
      <c r="H80" s="242">
        <v>0.10614665369771893</v>
      </c>
      <c r="I80" s="241">
        <v>6684</v>
      </c>
      <c r="J80" s="242">
        <v>0.20972043550563207</v>
      </c>
      <c r="K80" s="241">
        <v>1075</v>
      </c>
      <c r="L80" s="242">
        <v>3.3729722945624548E-2</v>
      </c>
      <c r="M80" s="222"/>
      <c r="N80" s="223"/>
      <c r="O80" s="222"/>
      <c r="P80" s="223"/>
      <c r="Q80" s="222"/>
      <c r="R80" s="223"/>
      <c r="S80" s="222"/>
      <c r="T80" s="223"/>
      <c r="U80" s="241">
        <v>14</v>
      </c>
      <c r="V80" s="242">
        <v>4.392708104546453E-4</v>
      </c>
      <c r="W80" s="244">
        <v>30467</v>
      </c>
      <c r="X80" s="242">
        <v>0.95594741300869124</v>
      </c>
      <c r="Y80" s="241">
        <v>1404</v>
      </c>
      <c r="Z80" s="245">
        <v>4.4052586991308713E-2</v>
      </c>
      <c r="AA80" s="246">
        <v>31871</v>
      </c>
      <c r="AC80" s="247"/>
      <c r="AD80" s="248">
        <v>0</v>
      </c>
      <c r="AF80" s="247"/>
      <c r="AG80" s="248">
        <v>0</v>
      </c>
      <c r="AI80" s="240">
        <v>31871</v>
      </c>
      <c r="AJ80" s="248">
        <v>0.69651208531841424</v>
      </c>
      <c r="AL80" s="249" t="s">
        <v>410</v>
      </c>
      <c r="AM80" s="244">
        <v>12825</v>
      </c>
      <c r="AN80" s="250">
        <v>0.40240343886291613</v>
      </c>
      <c r="AO80" s="251">
        <v>3</v>
      </c>
      <c r="AP80" s="251">
        <v>1</v>
      </c>
      <c r="AQ80" s="251">
        <v>4</v>
      </c>
      <c r="AR80" s="251">
        <v>2</v>
      </c>
      <c r="AS80" s="251">
        <v>6</v>
      </c>
      <c r="AT80" s="252"/>
      <c r="AU80" s="252"/>
      <c r="AV80" s="252"/>
      <c r="AW80" s="252"/>
      <c r="AX80" s="253">
        <v>7</v>
      </c>
      <c r="AY80" s="253">
        <v>5</v>
      </c>
      <c r="AZ80" s="254" t="s">
        <v>11</v>
      </c>
      <c r="BA80" s="244">
        <v>6684</v>
      </c>
      <c r="BB80" s="242">
        <v>0.20972043550563207</v>
      </c>
      <c r="BC80" s="244">
        <v>6141</v>
      </c>
      <c r="BD80" s="255">
        <v>0.19268300335728406</v>
      </c>
    </row>
    <row r="81" spans="1:56" ht="17.100000000000001" customHeight="1">
      <c r="A81" s="239" t="s">
        <v>297</v>
      </c>
      <c r="B81" s="240">
        <v>17846</v>
      </c>
      <c r="C81" s="241">
        <v>3890</v>
      </c>
      <c r="D81" s="242">
        <v>0.32069249793899424</v>
      </c>
      <c r="E81" s="243">
        <v>3916</v>
      </c>
      <c r="F81" s="242">
        <v>0.32283594394064302</v>
      </c>
      <c r="G81" s="241">
        <v>953</v>
      </c>
      <c r="H81" s="242">
        <v>7.8565539983511956E-2</v>
      </c>
      <c r="I81" s="241">
        <v>2065</v>
      </c>
      <c r="J81" s="242">
        <v>0.17023907666941468</v>
      </c>
      <c r="K81" s="241">
        <v>918</v>
      </c>
      <c r="L81" s="242">
        <v>7.5680131904369327E-2</v>
      </c>
      <c r="M81" s="222"/>
      <c r="N81" s="223"/>
      <c r="O81" s="222"/>
      <c r="P81" s="223"/>
      <c r="Q81" s="222"/>
      <c r="R81" s="223"/>
      <c r="S81" s="222"/>
      <c r="T81" s="223"/>
      <c r="U81" s="241">
        <v>20</v>
      </c>
      <c r="V81" s="242">
        <v>1.6488046166529267E-3</v>
      </c>
      <c r="W81" s="244">
        <v>11762</v>
      </c>
      <c r="X81" s="242">
        <v>0.96966199505358619</v>
      </c>
      <c r="Y81" s="241">
        <v>368</v>
      </c>
      <c r="Z81" s="245">
        <v>3.0338004946413848E-2</v>
      </c>
      <c r="AA81" s="246">
        <v>12130</v>
      </c>
      <c r="AC81" s="247"/>
      <c r="AD81" s="248">
        <v>0</v>
      </c>
      <c r="AF81" s="247"/>
      <c r="AG81" s="248">
        <v>0</v>
      </c>
      <c r="AI81" s="240">
        <v>12130</v>
      </c>
      <c r="AJ81" s="248">
        <v>0.67970413538047747</v>
      </c>
      <c r="AL81" s="249" t="s">
        <v>410</v>
      </c>
      <c r="AM81" s="244">
        <v>3916</v>
      </c>
      <c r="AN81" s="250">
        <v>0.32283594394064302</v>
      </c>
      <c r="AO81" s="251">
        <v>2</v>
      </c>
      <c r="AP81" s="251">
        <v>1</v>
      </c>
      <c r="AQ81" s="251">
        <v>4</v>
      </c>
      <c r="AR81" s="251">
        <v>3</v>
      </c>
      <c r="AS81" s="251">
        <v>5</v>
      </c>
      <c r="AT81" s="252"/>
      <c r="AU81" s="252"/>
      <c r="AV81" s="252"/>
      <c r="AW81" s="252"/>
      <c r="AX81" s="253">
        <v>7</v>
      </c>
      <c r="AY81" s="253">
        <v>6</v>
      </c>
      <c r="AZ81" s="254" t="s">
        <v>7</v>
      </c>
      <c r="BA81" s="244">
        <v>3890</v>
      </c>
      <c r="BB81" s="242">
        <v>0.32069249793899424</v>
      </c>
      <c r="BC81" s="244">
        <v>26</v>
      </c>
      <c r="BD81" s="255">
        <v>2.1434460016487855E-3</v>
      </c>
    </row>
    <row r="82" spans="1:56" ht="17.100000000000001" customHeight="1">
      <c r="A82" s="239" t="s">
        <v>298</v>
      </c>
      <c r="B82" s="240">
        <v>3244</v>
      </c>
      <c r="C82" s="241">
        <v>358</v>
      </c>
      <c r="D82" s="242">
        <v>0.13785136696187908</v>
      </c>
      <c r="E82" s="243">
        <v>1275</v>
      </c>
      <c r="F82" s="242">
        <v>0.49095109742010012</v>
      </c>
      <c r="G82" s="241">
        <v>121</v>
      </c>
      <c r="H82" s="242">
        <v>4.6592221794378129E-2</v>
      </c>
      <c r="I82" s="222"/>
      <c r="J82" s="223"/>
      <c r="K82" s="222"/>
      <c r="L82" s="223"/>
      <c r="M82" s="222"/>
      <c r="N82" s="223"/>
      <c r="O82" s="222"/>
      <c r="P82" s="223"/>
      <c r="Q82" s="222"/>
      <c r="R82" s="223"/>
      <c r="S82" s="241">
        <v>779</v>
      </c>
      <c r="T82" s="242">
        <v>0.2999614940315749</v>
      </c>
      <c r="U82" s="241">
        <v>2</v>
      </c>
      <c r="V82" s="242">
        <v>7.7011936850211781E-4</v>
      </c>
      <c r="W82" s="244">
        <v>2535</v>
      </c>
      <c r="X82" s="242">
        <v>0.97612629957643438</v>
      </c>
      <c r="Y82" s="241">
        <v>62</v>
      </c>
      <c r="Z82" s="245">
        <v>2.3873700423565652E-2</v>
      </c>
      <c r="AA82" s="246">
        <v>2597</v>
      </c>
      <c r="AC82" s="247"/>
      <c r="AD82" s="248">
        <v>0</v>
      </c>
      <c r="AF82" s="247"/>
      <c r="AG82" s="248">
        <v>0</v>
      </c>
      <c r="AI82" s="240">
        <v>2597</v>
      </c>
      <c r="AJ82" s="248">
        <v>0.80055487053020957</v>
      </c>
      <c r="AL82" s="249" t="s">
        <v>410</v>
      </c>
      <c r="AM82" s="244">
        <v>1275</v>
      </c>
      <c r="AN82" s="250">
        <v>0.49095109742010012</v>
      </c>
      <c r="AO82" s="251">
        <v>3</v>
      </c>
      <c r="AP82" s="251">
        <v>1</v>
      </c>
      <c r="AQ82" s="251">
        <v>4</v>
      </c>
      <c r="AR82" s="252"/>
      <c r="AS82" s="252"/>
      <c r="AT82" s="252"/>
      <c r="AU82" s="252"/>
      <c r="AV82" s="252"/>
      <c r="AW82" s="251">
        <v>2</v>
      </c>
      <c r="AX82" s="253">
        <v>6</v>
      </c>
      <c r="AY82" s="253">
        <v>5</v>
      </c>
      <c r="AZ82" s="254" t="s">
        <v>425</v>
      </c>
      <c r="BA82" s="244">
        <v>779</v>
      </c>
      <c r="BB82" s="256">
        <v>0.2999614940315749</v>
      </c>
      <c r="BC82" s="244">
        <v>496</v>
      </c>
      <c r="BD82" s="255">
        <v>0.19098960338852522</v>
      </c>
    </row>
    <row r="83" spans="1:56" ht="17.100000000000001" customHeight="1">
      <c r="A83" s="239" t="s">
        <v>443</v>
      </c>
      <c r="B83" s="240">
        <v>148444</v>
      </c>
      <c r="C83" s="241">
        <v>7119</v>
      </c>
      <c r="D83" s="242">
        <v>7.1502465775438673E-2</v>
      </c>
      <c r="E83" s="243">
        <v>44688</v>
      </c>
      <c r="F83" s="242">
        <v>0.44884143708003976</v>
      </c>
      <c r="G83" s="241">
        <v>32104</v>
      </c>
      <c r="H83" s="242">
        <v>0.32244910257826703</v>
      </c>
      <c r="I83" s="241">
        <v>3535</v>
      </c>
      <c r="J83" s="242">
        <v>3.5505157538442994E-2</v>
      </c>
      <c r="K83" s="241">
        <v>3988</v>
      </c>
      <c r="L83" s="242">
        <v>4.0055040527103444E-2</v>
      </c>
      <c r="M83" s="222"/>
      <c r="N83" s="223"/>
      <c r="O83" s="222"/>
      <c r="P83" s="223"/>
      <c r="Q83" s="222"/>
      <c r="R83" s="223"/>
      <c r="S83" s="222"/>
      <c r="T83" s="223"/>
      <c r="U83" s="241">
        <v>146</v>
      </c>
      <c r="V83" s="242">
        <v>1.4664082038508281E-3</v>
      </c>
      <c r="W83" s="244">
        <v>91580</v>
      </c>
      <c r="X83" s="242">
        <v>0.91981961170314275</v>
      </c>
      <c r="Y83" s="241">
        <v>7615</v>
      </c>
      <c r="Z83" s="245">
        <v>7.6484236111808601E-2</v>
      </c>
      <c r="AA83" s="246">
        <v>99195</v>
      </c>
      <c r="AC83" s="247">
        <v>368</v>
      </c>
      <c r="AD83" s="248">
        <v>3.6961521850486624E-3</v>
      </c>
      <c r="AF83" s="247"/>
      <c r="AG83" s="248">
        <v>0</v>
      </c>
      <c r="AI83" s="240">
        <v>99563</v>
      </c>
      <c r="AJ83" s="248">
        <v>0.67071084045161811</v>
      </c>
      <c r="AL83" s="249" t="s">
        <v>410</v>
      </c>
      <c r="AM83" s="244">
        <v>44688</v>
      </c>
      <c r="AN83" s="250">
        <v>0.44884143708003976</v>
      </c>
      <c r="AO83" s="251">
        <v>4</v>
      </c>
      <c r="AP83" s="251">
        <v>1</v>
      </c>
      <c r="AQ83" s="251">
        <v>2</v>
      </c>
      <c r="AR83" s="251">
        <v>6</v>
      </c>
      <c r="AS83" s="251">
        <v>5</v>
      </c>
      <c r="AT83" s="252"/>
      <c r="AU83" s="252"/>
      <c r="AV83" s="252"/>
      <c r="AW83" s="252"/>
      <c r="AX83" s="253">
        <v>7</v>
      </c>
      <c r="AY83" s="253">
        <v>3</v>
      </c>
      <c r="AZ83" s="254" t="s">
        <v>10</v>
      </c>
      <c r="BA83" s="244">
        <v>32104</v>
      </c>
      <c r="BB83" s="242">
        <v>0.32244910257826703</v>
      </c>
      <c r="BC83" s="244">
        <v>12584</v>
      </c>
      <c r="BD83" s="255">
        <v>0.12639233450177273</v>
      </c>
    </row>
    <row r="84" spans="1:56" ht="17.100000000000001" customHeight="1">
      <c r="A84" s="239" t="s">
        <v>300</v>
      </c>
      <c r="B84" s="240">
        <v>10343</v>
      </c>
      <c r="C84" s="241">
        <v>2269</v>
      </c>
      <c r="D84" s="242">
        <v>0.28692463328275164</v>
      </c>
      <c r="E84" s="243">
        <v>5107</v>
      </c>
      <c r="F84" s="242">
        <v>0.64580171977744061</v>
      </c>
      <c r="G84" s="241">
        <v>170</v>
      </c>
      <c r="H84" s="242">
        <v>2.1497218007081438E-2</v>
      </c>
      <c r="I84" s="241">
        <v>138</v>
      </c>
      <c r="J84" s="242">
        <v>1.7450682852807285E-2</v>
      </c>
      <c r="K84" s="222"/>
      <c r="L84" s="223"/>
      <c r="M84" s="222"/>
      <c r="N84" s="223"/>
      <c r="O84" s="222"/>
      <c r="P84" s="223"/>
      <c r="Q84" s="222"/>
      <c r="R84" s="223"/>
      <c r="S84" s="222"/>
      <c r="T84" s="223"/>
      <c r="U84" s="241">
        <v>5</v>
      </c>
      <c r="V84" s="242">
        <v>6.3227111785533639E-4</v>
      </c>
      <c r="W84" s="244">
        <v>7689</v>
      </c>
      <c r="X84" s="242">
        <v>0.97230652503793624</v>
      </c>
      <c r="Y84" s="241">
        <v>219</v>
      </c>
      <c r="Z84" s="245">
        <v>2.7693474962063733E-2</v>
      </c>
      <c r="AA84" s="246">
        <v>7908</v>
      </c>
      <c r="AC84" s="247"/>
      <c r="AD84" s="248">
        <v>0</v>
      </c>
      <c r="AF84" s="247"/>
      <c r="AG84" s="248">
        <v>0</v>
      </c>
      <c r="AI84" s="240">
        <v>7908</v>
      </c>
      <c r="AJ84" s="248">
        <v>0.76457507492990429</v>
      </c>
      <c r="AL84" s="249" t="s">
        <v>410</v>
      </c>
      <c r="AM84" s="244">
        <v>5107</v>
      </c>
      <c r="AN84" s="250">
        <v>0.64580171977744061</v>
      </c>
      <c r="AO84" s="251">
        <v>2</v>
      </c>
      <c r="AP84" s="251">
        <v>1</v>
      </c>
      <c r="AQ84" s="251">
        <v>4</v>
      </c>
      <c r="AR84" s="251">
        <v>5</v>
      </c>
      <c r="AS84" s="252"/>
      <c r="AT84" s="252"/>
      <c r="AU84" s="252"/>
      <c r="AV84" s="252"/>
      <c r="AW84" s="252"/>
      <c r="AX84" s="253">
        <v>6</v>
      </c>
      <c r="AY84" s="253">
        <v>3</v>
      </c>
      <c r="AZ84" s="254" t="s">
        <v>7</v>
      </c>
      <c r="BA84" s="244">
        <v>2269</v>
      </c>
      <c r="BB84" s="256">
        <v>0.28692463328275164</v>
      </c>
      <c r="BC84" s="244">
        <v>2838</v>
      </c>
      <c r="BD84" s="255">
        <v>0.35887708649468897</v>
      </c>
    </row>
    <row r="85" spans="1:56" ht="17.100000000000001" customHeight="1">
      <c r="A85" s="239" t="s">
        <v>444</v>
      </c>
      <c r="B85" s="240">
        <v>7207</v>
      </c>
      <c r="C85" s="241">
        <v>309</v>
      </c>
      <c r="D85" s="242">
        <v>5.4449339207048461E-2</v>
      </c>
      <c r="E85" s="243">
        <v>2035</v>
      </c>
      <c r="F85" s="242">
        <v>0.35859030837004408</v>
      </c>
      <c r="G85" s="222"/>
      <c r="H85" s="223"/>
      <c r="I85" s="241">
        <v>1971</v>
      </c>
      <c r="J85" s="242">
        <v>0.34731277533039645</v>
      </c>
      <c r="K85" s="222"/>
      <c r="L85" s="223"/>
      <c r="M85" s="222"/>
      <c r="N85" s="223"/>
      <c r="O85" s="222"/>
      <c r="P85" s="223"/>
      <c r="Q85" s="241">
        <v>368</v>
      </c>
      <c r="R85" s="242">
        <v>6.4845814977973565E-2</v>
      </c>
      <c r="S85" s="222"/>
      <c r="T85" s="223"/>
      <c r="U85" s="241">
        <v>1</v>
      </c>
      <c r="V85" s="242">
        <v>1.7621145374449341E-4</v>
      </c>
      <c r="W85" s="244">
        <v>4684</v>
      </c>
      <c r="X85" s="242">
        <v>0.82537444933920701</v>
      </c>
      <c r="Y85" s="241">
        <v>143</v>
      </c>
      <c r="Z85" s="245">
        <v>2.5198237885462556E-2</v>
      </c>
      <c r="AA85" s="246">
        <v>4827</v>
      </c>
      <c r="AC85" s="247">
        <v>848</v>
      </c>
      <c r="AD85" s="248">
        <v>0.14942731277533039</v>
      </c>
      <c r="AF85" s="247"/>
      <c r="AG85" s="248">
        <v>0</v>
      </c>
      <c r="AI85" s="240">
        <v>5675</v>
      </c>
      <c r="AJ85" s="248">
        <v>0.78742888858054672</v>
      </c>
      <c r="AL85" s="249" t="s">
        <v>410</v>
      </c>
      <c r="AM85" s="244">
        <v>2035</v>
      </c>
      <c r="AN85" s="250">
        <v>0.35859030837004408</v>
      </c>
      <c r="AO85" s="251">
        <v>4</v>
      </c>
      <c r="AP85" s="251">
        <v>1</v>
      </c>
      <c r="AQ85" s="252"/>
      <c r="AR85" s="251">
        <v>2</v>
      </c>
      <c r="AS85" s="252"/>
      <c r="AT85" s="252"/>
      <c r="AU85" s="252"/>
      <c r="AV85" s="251">
        <v>3</v>
      </c>
      <c r="AW85" s="252"/>
      <c r="AX85" s="253">
        <v>6</v>
      </c>
      <c r="AY85" s="253">
        <v>5</v>
      </c>
      <c r="AZ85" s="254" t="s">
        <v>11</v>
      </c>
      <c r="BA85" s="244">
        <v>1971</v>
      </c>
      <c r="BB85" s="242">
        <v>0.34731277533039645</v>
      </c>
      <c r="BC85" s="244">
        <v>64</v>
      </c>
      <c r="BD85" s="255">
        <v>1.1277533039647625E-2</v>
      </c>
    </row>
    <row r="86" spans="1:56" ht="17.100000000000001" customHeight="1">
      <c r="A86" s="239" t="s">
        <v>302</v>
      </c>
      <c r="B86" s="240">
        <v>11370</v>
      </c>
      <c r="C86" s="241">
        <v>1998</v>
      </c>
      <c r="D86" s="242">
        <v>0.23910962182862613</v>
      </c>
      <c r="E86" s="243">
        <v>3022</v>
      </c>
      <c r="F86" s="242">
        <v>0.36165629487793205</v>
      </c>
      <c r="G86" s="241">
        <v>330</v>
      </c>
      <c r="H86" s="242">
        <v>3.9492580181905219E-2</v>
      </c>
      <c r="I86" s="241">
        <v>2305</v>
      </c>
      <c r="J86" s="242">
        <v>0.27584968884633798</v>
      </c>
      <c r="K86" s="241">
        <v>282</v>
      </c>
      <c r="L86" s="242">
        <v>3.3748204882719006E-2</v>
      </c>
      <c r="M86" s="222"/>
      <c r="N86" s="223"/>
      <c r="O86" s="222"/>
      <c r="P86" s="223"/>
      <c r="Q86" s="222"/>
      <c r="R86" s="223"/>
      <c r="S86" s="222"/>
      <c r="T86" s="223"/>
      <c r="U86" s="241">
        <v>85</v>
      </c>
      <c r="V86" s="242">
        <v>1.0172331258975587E-2</v>
      </c>
      <c r="W86" s="244">
        <v>8022</v>
      </c>
      <c r="X86" s="242">
        <v>0.96002872187649591</v>
      </c>
      <c r="Y86" s="241">
        <v>334</v>
      </c>
      <c r="Z86" s="245">
        <v>3.9971278123504067E-2</v>
      </c>
      <c r="AA86" s="246">
        <v>8356</v>
      </c>
      <c r="AC86" s="247"/>
      <c r="AD86" s="248">
        <v>0</v>
      </c>
      <c r="AF86" s="247"/>
      <c r="AG86" s="248">
        <v>0</v>
      </c>
      <c r="AI86" s="240">
        <v>8356</v>
      </c>
      <c r="AJ86" s="248">
        <v>0.73491644678979773</v>
      </c>
      <c r="AL86" s="249" t="s">
        <v>410</v>
      </c>
      <c r="AM86" s="244">
        <v>3022</v>
      </c>
      <c r="AN86" s="250">
        <v>0.36165629487793205</v>
      </c>
      <c r="AO86" s="251">
        <v>3</v>
      </c>
      <c r="AP86" s="251">
        <v>1</v>
      </c>
      <c r="AQ86" s="251">
        <v>5</v>
      </c>
      <c r="AR86" s="251">
        <v>2</v>
      </c>
      <c r="AS86" s="251">
        <v>6</v>
      </c>
      <c r="AT86" s="252"/>
      <c r="AU86" s="252"/>
      <c r="AV86" s="252"/>
      <c r="AW86" s="252"/>
      <c r="AX86" s="253">
        <v>7</v>
      </c>
      <c r="AY86" s="253">
        <v>4</v>
      </c>
      <c r="AZ86" s="254" t="s">
        <v>11</v>
      </c>
      <c r="BA86" s="244">
        <v>2305</v>
      </c>
      <c r="BB86" s="242">
        <v>0.27584968884633798</v>
      </c>
      <c r="BC86" s="244">
        <v>717</v>
      </c>
      <c r="BD86" s="255">
        <v>8.5806606031594068E-2</v>
      </c>
    </row>
    <row r="87" spans="1:56" ht="17.100000000000001" customHeight="1">
      <c r="A87" s="239" t="s">
        <v>303</v>
      </c>
      <c r="B87" s="240">
        <v>75148</v>
      </c>
      <c r="C87" s="241">
        <v>12784</v>
      </c>
      <c r="D87" s="242">
        <v>0.24791048538794191</v>
      </c>
      <c r="E87" s="243">
        <v>30585</v>
      </c>
      <c r="F87" s="242">
        <v>0.5931118738728256</v>
      </c>
      <c r="G87" s="241">
        <v>2207</v>
      </c>
      <c r="H87" s="242">
        <v>4.2798689084104176E-2</v>
      </c>
      <c r="I87" s="241">
        <v>857</v>
      </c>
      <c r="J87" s="242">
        <v>1.6619155661566506E-2</v>
      </c>
      <c r="K87" s="241">
        <v>2099</v>
      </c>
      <c r="L87" s="242">
        <v>4.070432641030116E-2</v>
      </c>
      <c r="M87" s="222"/>
      <c r="N87" s="223"/>
      <c r="O87" s="222"/>
      <c r="P87" s="223"/>
      <c r="Q87" s="222"/>
      <c r="R87" s="223"/>
      <c r="S87" s="222"/>
      <c r="T87" s="223"/>
      <c r="U87" s="241">
        <v>53</v>
      </c>
      <c r="V87" s="242">
        <v>1.0277890899218491E-3</v>
      </c>
      <c r="W87" s="244">
        <v>48585</v>
      </c>
      <c r="X87" s="242">
        <v>0.94217231950666125</v>
      </c>
      <c r="Y87" s="241">
        <v>2982</v>
      </c>
      <c r="Z87" s="245">
        <v>5.7827680493338765E-2</v>
      </c>
      <c r="AA87" s="246">
        <v>51567</v>
      </c>
      <c r="AC87" s="247"/>
      <c r="AD87" s="248">
        <v>0</v>
      </c>
      <c r="AF87" s="247"/>
      <c r="AG87" s="248">
        <v>0</v>
      </c>
      <c r="AI87" s="240">
        <v>51567</v>
      </c>
      <c r="AJ87" s="248">
        <v>0.68620588704955554</v>
      </c>
      <c r="AL87" s="249" t="s">
        <v>410</v>
      </c>
      <c r="AM87" s="244">
        <v>30585</v>
      </c>
      <c r="AN87" s="250">
        <v>0.5931118738728256</v>
      </c>
      <c r="AO87" s="251">
        <v>2</v>
      </c>
      <c r="AP87" s="251">
        <v>1</v>
      </c>
      <c r="AQ87" s="251">
        <v>4</v>
      </c>
      <c r="AR87" s="251">
        <v>6</v>
      </c>
      <c r="AS87" s="251">
        <v>5</v>
      </c>
      <c r="AT87" s="252"/>
      <c r="AU87" s="252"/>
      <c r="AV87" s="252"/>
      <c r="AW87" s="252"/>
      <c r="AX87" s="253">
        <v>7</v>
      </c>
      <c r="AY87" s="253">
        <v>3</v>
      </c>
      <c r="AZ87" s="254" t="s">
        <v>7</v>
      </c>
      <c r="BA87" s="244">
        <v>12784</v>
      </c>
      <c r="BB87" s="242">
        <v>0.24791048538794191</v>
      </c>
      <c r="BC87" s="244">
        <v>17801</v>
      </c>
      <c r="BD87" s="255">
        <v>0.34520138848488369</v>
      </c>
    </row>
    <row r="88" spans="1:56" ht="17.100000000000001" customHeight="1">
      <c r="A88" s="239" t="s">
        <v>304</v>
      </c>
      <c r="B88" s="240">
        <v>16659</v>
      </c>
      <c r="C88" s="241">
        <v>3183</v>
      </c>
      <c r="D88" s="242">
        <v>0.25533450986683781</v>
      </c>
      <c r="E88" s="243">
        <v>4075</v>
      </c>
      <c r="F88" s="242">
        <v>0.32688913845660195</v>
      </c>
      <c r="G88" s="222"/>
      <c r="H88" s="223"/>
      <c r="I88" s="222"/>
      <c r="J88" s="223"/>
      <c r="K88" s="241">
        <v>2301</v>
      </c>
      <c r="L88" s="242">
        <v>0.18458206321193646</v>
      </c>
      <c r="M88" s="222"/>
      <c r="N88" s="223"/>
      <c r="O88" s="241">
        <v>2510</v>
      </c>
      <c r="P88" s="242">
        <v>0.20134766565056955</v>
      </c>
      <c r="Q88" s="222"/>
      <c r="R88" s="223"/>
      <c r="S88" s="222"/>
      <c r="T88" s="223"/>
      <c r="U88" s="241">
        <v>8</v>
      </c>
      <c r="V88" s="242">
        <v>6.4174554789026147E-4</v>
      </c>
      <c r="W88" s="244">
        <v>12077</v>
      </c>
      <c r="X88" s="242">
        <v>0.96879512273383606</v>
      </c>
      <c r="Y88" s="241">
        <v>389</v>
      </c>
      <c r="Z88" s="245">
        <v>3.1204877266163965E-2</v>
      </c>
      <c r="AA88" s="246">
        <v>12466</v>
      </c>
      <c r="AC88" s="247"/>
      <c r="AD88" s="248">
        <v>0</v>
      </c>
      <c r="AF88" s="247"/>
      <c r="AG88" s="248">
        <v>0</v>
      </c>
      <c r="AI88" s="240">
        <v>12466</v>
      </c>
      <c r="AJ88" s="248">
        <v>0.74830421994117291</v>
      </c>
      <c r="AL88" s="249" t="s">
        <v>410</v>
      </c>
      <c r="AM88" s="244">
        <v>4075</v>
      </c>
      <c r="AN88" s="250">
        <v>0.32688913845660195</v>
      </c>
      <c r="AO88" s="251">
        <v>2</v>
      </c>
      <c r="AP88" s="251">
        <v>1</v>
      </c>
      <c r="AQ88" s="252"/>
      <c r="AR88" s="252"/>
      <c r="AS88" s="251">
        <v>4</v>
      </c>
      <c r="AT88" s="252"/>
      <c r="AU88" s="251">
        <v>3</v>
      </c>
      <c r="AV88" s="252"/>
      <c r="AW88" s="252"/>
      <c r="AX88" s="253">
        <v>6</v>
      </c>
      <c r="AY88" s="253">
        <v>5</v>
      </c>
      <c r="AZ88" s="254" t="s">
        <v>7</v>
      </c>
      <c r="BA88" s="244">
        <v>3183</v>
      </c>
      <c r="BB88" s="242">
        <v>0.25533450986683781</v>
      </c>
      <c r="BC88" s="244">
        <v>892</v>
      </c>
      <c r="BD88" s="255">
        <v>7.1554628589764135E-2</v>
      </c>
    </row>
    <row r="89" spans="1:56" ht="17.100000000000001" customHeight="1">
      <c r="A89" s="239" t="s">
        <v>305</v>
      </c>
      <c r="B89" s="240">
        <v>54982</v>
      </c>
      <c r="C89" s="241">
        <v>5248</v>
      </c>
      <c r="D89" s="242">
        <v>0.14169231599978402</v>
      </c>
      <c r="E89" s="243">
        <v>13833</v>
      </c>
      <c r="F89" s="242">
        <v>0.37348128948647336</v>
      </c>
      <c r="G89" s="241">
        <v>6257</v>
      </c>
      <c r="H89" s="242">
        <v>0.1689346077001998</v>
      </c>
      <c r="I89" s="241">
        <v>5005</v>
      </c>
      <c r="J89" s="242">
        <v>0.13513148658134888</v>
      </c>
      <c r="K89" s="241">
        <v>5217</v>
      </c>
      <c r="L89" s="242">
        <v>0.1408553377612182</v>
      </c>
      <c r="M89" s="222"/>
      <c r="N89" s="223"/>
      <c r="O89" s="222"/>
      <c r="P89" s="223"/>
      <c r="Q89" s="222"/>
      <c r="R89" s="223"/>
      <c r="S89" s="222"/>
      <c r="T89" s="223"/>
      <c r="U89" s="241">
        <v>38</v>
      </c>
      <c r="V89" s="242">
        <v>1.025973324693558E-3</v>
      </c>
      <c r="W89" s="244">
        <v>35598</v>
      </c>
      <c r="X89" s="242">
        <v>0.96112101085371782</v>
      </c>
      <c r="Y89" s="241">
        <v>1440</v>
      </c>
      <c r="Z89" s="245">
        <v>3.8878989146282197E-2</v>
      </c>
      <c r="AA89" s="246">
        <v>37038</v>
      </c>
      <c r="AC89" s="247"/>
      <c r="AD89" s="248">
        <v>0</v>
      </c>
      <c r="AF89" s="247"/>
      <c r="AG89" s="248">
        <v>0</v>
      </c>
      <c r="AI89" s="240">
        <v>37038</v>
      </c>
      <c r="AJ89" s="248">
        <v>0.67363864537484996</v>
      </c>
      <c r="AL89" s="249" t="s">
        <v>410</v>
      </c>
      <c r="AM89" s="244">
        <v>13833</v>
      </c>
      <c r="AN89" s="250">
        <v>0.37348128948647336</v>
      </c>
      <c r="AO89" s="251">
        <v>3</v>
      </c>
      <c r="AP89" s="251">
        <v>1</v>
      </c>
      <c r="AQ89" s="251">
        <v>2</v>
      </c>
      <c r="AR89" s="251">
        <v>5</v>
      </c>
      <c r="AS89" s="251">
        <v>4</v>
      </c>
      <c r="AT89" s="252"/>
      <c r="AU89" s="252"/>
      <c r="AV89" s="252"/>
      <c r="AW89" s="252"/>
      <c r="AX89" s="253">
        <v>7</v>
      </c>
      <c r="AY89" s="253">
        <v>6</v>
      </c>
      <c r="AZ89" s="254" t="s">
        <v>10</v>
      </c>
      <c r="BA89" s="244">
        <v>6257</v>
      </c>
      <c r="BB89" s="256">
        <v>0.1689346077001998</v>
      </c>
      <c r="BC89" s="244">
        <v>7576</v>
      </c>
      <c r="BD89" s="255">
        <v>0.20454668178627355</v>
      </c>
    </row>
    <row r="90" spans="1:56" ht="17.100000000000001" customHeight="1">
      <c r="A90" s="239" t="s">
        <v>445</v>
      </c>
      <c r="B90" s="240">
        <v>4215</v>
      </c>
      <c r="C90" s="241">
        <v>100</v>
      </c>
      <c r="D90" s="242">
        <v>2.7886224205242609E-2</v>
      </c>
      <c r="E90" s="243">
        <v>1402</v>
      </c>
      <c r="F90" s="242">
        <v>0.39096486335750141</v>
      </c>
      <c r="G90" s="222"/>
      <c r="H90" s="223"/>
      <c r="I90" s="222"/>
      <c r="J90" s="223"/>
      <c r="K90" s="222"/>
      <c r="L90" s="223"/>
      <c r="M90" s="222"/>
      <c r="N90" s="223"/>
      <c r="O90" s="241">
        <v>1522</v>
      </c>
      <c r="P90" s="242">
        <v>0.42442833240379252</v>
      </c>
      <c r="Q90" s="222"/>
      <c r="R90" s="223"/>
      <c r="S90" s="222"/>
      <c r="T90" s="223"/>
      <c r="U90" s="241">
        <v>0</v>
      </c>
      <c r="V90" s="242">
        <v>0</v>
      </c>
      <c r="W90" s="244">
        <v>3024</v>
      </c>
      <c r="X90" s="242">
        <v>0.84327941996653655</v>
      </c>
      <c r="Y90" s="241">
        <v>45</v>
      </c>
      <c r="Z90" s="245">
        <v>1.2548800892359175E-2</v>
      </c>
      <c r="AA90" s="246">
        <v>3069</v>
      </c>
      <c r="AC90" s="247">
        <v>517</v>
      </c>
      <c r="AD90" s="248">
        <v>0.14417177914110429</v>
      </c>
      <c r="AF90" s="247"/>
      <c r="AG90" s="248">
        <v>0</v>
      </c>
      <c r="AI90" s="240">
        <v>3586</v>
      </c>
      <c r="AJ90" s="248">
        <v>0.85077105575326217</v>
      </c>
      <c r="AL90" s="249" t="s">
        <v>256</v>
      </c>
      <c r="AM90" s="244">
        <v>1522</v>
      </c>
      <c r="AN90" s="250">
        <v>0.42442833240379252</v>
      </c>
      <c r="AO90" s="251">
        <v>3</v>
      </c>
      <c r="AP90" s="251">
        <v>2</v>
      </c>
      <c r="AQ90" s="251">
        <v>5</v>
      </c>
      <c r="AR90" s="251">
        <v>5</v>
      </c>
      <c r="AS90" s="251">
        <v>5</v>
      </c>
      <c r="AT90" s="251">
        <v>5</v>
      </c>
      <c r="AU90" s="251">
        <v>1</v>
      </c>
      <c r="AV90" s="251">
        <v>5</v>
      </c>
      <c r="AW90" s="251">
        <v>5</v>
      </c>
      <c r="AX90" s="253">
        <v>5</v>
      </c>
      <c r="AY90" s="253">
        <v>4</v>
      </c>
      <c r="AZ90" s="254" t="s">
        <v>410</v>
      </c>
      <c r="BA90" s="244">
        <v>1402</v>
      </c>
      <c r="BB90" s="256">
        <v>0.39096486335750141</v>
      </c>
      <c r="BC90" s="244">
        <v>120</v>
      </c>
      <c r="BD90" s="255">
        <v>3.3463469046291106E-2</v>
      </c>
    </row>
    <row r="91" spans="1:56" ht="17.100000000000001" customHeight="1">
      <c r="A91" s="239" t="s">
        <v>307</v>
      </c>
      <c r="B91" s="240">
        <v>6674</v>
      </c>
      <c r="C91" s="241">
        <v>565</v>
      </c>
      <c r="D91" s="242">
        <v>0.11082777559827384</v>
      </c>
      <c r="E91" s="243">
        <v>1856</v>
      </c>
      <c r="F91" s="242">
        <v>0.36406433895645351</v>
      </c>
      <c r="G91" s="222"/>
      <c r="H91" s="223"/>
      <c r="I91" s="222"/>
      <c r="J91" s="223"/>
      <c r="K91" s="241">
        <v>42</v>
      </c>
      <c r="L91" s="242">
        <v>8.2385249117300895E-3</v>
      </c>
      <c r="M91" s="222"/>
      <c r="N91" s="222"/>
      <c r="O91" s="241">
        <v>2443</v>
      </c>
      <c r="P91" s="242">
        <v>0.47920753236563357</v>
      </c>
      <c r="Q91" s="222"/>
      <c r="R91" s="223"/>
      <c r="S91" s="222"/>
      <c r="T91" s="223"/>
      <c r="U91" s="241">
        <v>2</v>
      </c>
      <c r="V91" s="242">
        <v>3.9231071008238524E-4</v>
      </c>
      <c r="W91" s="244">
        <v>4908</v>
      </c>
      <c r="X91" s="242">
        <v>0.96273048254217342</v>
      </c>
      <c r="Y91" s="241">
        <v>190</v>
      </c>
      <c r="Z91" s="245">
        <v>3.7269517457826598E-2</v>
      </c>
      <c r="AA91" s="246">
        <v>5098</v>
      </c>
      <c r="AC91" s="247"/>
      <c r="AD91" s="248">
        <v>0</v>
      </c>
      <c r="AF91" s="247"/>
      <c r="AG91" s="248">
        <v>0</v>
      </c>
      <c r="AI91" s="240">
        <v>5098</v>
      </c>
      <c r="AJ91" s="248">
        <v>0.76385975427030262</v>
      </c>
      <c r="AL91" s="249" t="s">
        <v>256</v>
      </c>
      <c r="AM91" s="244">
        <v>2443</v>
      </c>
      <c r="AN91" s="250">
        <v>0.47920753236563357</v>
      </c>
      <c r="AO91" s="251">
        <v>3</v>
      </c>
      <c r="AP91" s="251">
        <v>2</v>
      </c>
      <c r="AQ91" s="252"/>
      <c r="AR91" s="252"/>
      <c r="AS91" s="251">
        <v>5</v>
      </c>
      <c r="AT91" s="252"/>
      <c r="AU91" s="251">
        <v>1</v>
      </c>
      <c r="AV91" s="252"/>
      <c r="AW91" s="252"/>
      <c r="AX91" s="253">
        <v>6</v>
      </c>
      <c r="AY91" s="253">
        <v>4</v>
      </c>
      <c r="AZ91" s="254" t="s">
        <v>410</v>
      </c>
      <c r="BA91" s="244">
        <v>1856</v>
      </c>
      <c r="BB91" s="242">
        <v>0.36406433895645351</v>
      </c>
      <c r="BC91" s="244">
        <v>587</v>
      </c>
      <c r="BD91" s="255">
        <v>0.11514319340918006</v>
      </c>
    </row>
    <row r="92" spans="1:56" ht="17.100000000000001" customHeight="1">
      <c r="A92" s="239" t="s">
        <v>308</v>
      </c>
      <c r="B92" s="240">
        <v>8526</v>
      </c>
      <c r="C92" s="241">
        <v>3433</v>
      </c>
      <c r="D92" s="242">
        <v>0.47800055694792537</v>
      </c>
      <c r="E92" s="243">
        <v>3591</v>
      </c>
      <c r="F92" s="242">
        <v>0.5</v>
      </c>
      <c r="G92" s="222"/>
      <c r="H92" s="223"/>
      <c r="I92" s="222"/>
      <c r="J92" s="223"/>
      <c r="K92" s="222"/>
      <c r="L92" s="223"/>
      <c r="M92" s="222"/>
      <c r="N92" s="223"/>
      <c r="O92" s="241">
        <v>74</v>
      </c>
      <c r="P92" s="242">
        <v>1.0303536619326092E-2</v>
      </c>
      <c r="Q92" s="222"/>
      <c r="R92" s="223"/>
      <c r="S92" s="222"/>
      <c r="T92" s="223"/>
      <c r="U92" s="241">
        <v>1</v>
      </c>
      <c r="V92" s="242">
        <v>1.3923698134224449E-4</v>
      </c>
      <c r="W92" s="244">
        <v>7099</v>
      </c>
      <c r="X92" s="242">
        <v>0.98844333054859368</v>
      </c>
      <c r="Y92" s="241">
        <v>83</v>
      </c>
      <c r="Z92" s="245">
        <v>1.1556669451406293E-2</v>
      </c>
      <c r="AA92" s="246">
        <v>7182</v>
      </c>
      <c r="AC92" s="247"/>
      <c r="AD92" s="248">
        <v>0</v>
      </c>
      <c r="AF92" s="247"/>
      <c r="AG92" s="248">
        <v>0</v>
      </c>
      <c r="AI92" s="240">
        <v>7182</v>
      </c>
      <c r="AJ92" s="248">
        <v>0.8423645320197044</v>
      </c>
      <c r="AL92" s="249" t="s">
        <v>410</v>
      </c>
      <c r="AM92" s="244">
        <v>3591</v>
      </c>
      <c r="AN92" s="250">
        <v>0.5</v>
      </c>
      <c r="AO92" s="251">
        <v>2</v>
      </c>
      <c r="AP92" s="251">
        <v>1</v>
      </c>
      <c r="AQ92" s="252"/>
      <c r="AR92" s="252"/>
      <c r="AS92" s="252"/>
      <c r="AT92" s="252"/>
      <c r="AU92" s="251">
        <v>4</v>
      </c>
      <c r="AV92" s="252"/>
      <c r="AW92" s="252"/>
      <c r="AX92" s="253">
        <v>5</v>
      </c>
      <c r="AY92" s="253">
        <v>3</v>
      </c>
      <c r="AZ92" s="254" t="s">
        <v>7</v>
      </c>
      <c r="BA92" s="244">
        <v>3433</v>
      </c>
      <c r="BB92" s="256">
        <v>0.47800055694792537</v>
      </c>
      <c r="BC92" s="244">
        <v>158</v>
      </c>
      <c r="BD92" s="255">
        <v>2.199944305207463E-2</v>
      </c>
    </row>
    <row r="93" spans="1:56" ht="17.100000000000001" customHeight="1">
      <c r="A93" s="239" t="s">
        <v>309</v>
      </c>
      <c r="B93" s="240">
        <v>18036</v>
      </c>
      <c r="C93" s="241">
        <v>3577</v>
      </c>
      <c r="D93" s="242">
        <v>0.26024008730447434</v>
      </c>
      <c r="E93" s="243">
        <v>6409</v>
      </c>
      <c r="F93" s="242">
        <v>0.46627864678064751</v>
      </c>
      <c r="G93" s="241">
        <v>3110</v>
      </c>
      <c r="H93" s="242">
        <v>0.22626409603492179</v>
      </c>
      <c r="I93" s="241">
        <v>76</v>
      </c>
      <c r="J93" s="242">
        <v>5.5292833757730085E-3</v>
      </c>
      <c r="K93" s="241">
        <v>58</v>
      </c>
      <c r="L93" s="242">
        <v>4.2197162604583486E-3</v>
      </c>
      <c r="M93" s="222"/>
      <c r="N93" s="223"/>
      <c r="O93" s="222"/>
      <c r="P93" s="223"/>
      <c r="Q93" s="222"/>
      <c r="R93" s="223"/>
      <c r="S93" s="222"/>
      <c r="T93" s="223"/>
      <c r="U93" s="241">
        <v>3</v>
      </c>
      <c r="V93" s="242">
        <v>2.1826118588577664E-4</v>
      </c>
      <c r="W93" s="244">
        <v>13233</v>
      </c>
      <c r="X93" s="242">
        <v>0.9627500909421608</v>
      </c>
      <c r="Y93" s="241">
        <v>512</v>
      </c>
      <c r="Z93" s="245">
        <v>3.7249909057839217E-2</v>
      </c>
      <c r="AA93" s="246">
        <v>13745</v>
      </c>
      <c r="AC93" s="247"/>
      <c r="AD93" s="248">
        <v>0</v>
      </c>
      <c r="AF93" s="247"/>
      <c r="AG93" s="248">
        <v>0</v>
      </c>
      <c r="AI93" s="240">
        <v>13745</v>
      </c>
      <c r="AJ93" s="248">
        <v>0.76208693723663778</v>
      </c>
      <c r="AL93" s="249" t="s">
        <v>410</v>
      </c>
      <c r="AM93" s="244">
        <v>6409</v>
      </c>
      <c r="AN93" s="250">
        <v>0.46627864678064751</v>
      </c>
      <c r="AO93" s="251">
        <v>2</v>
      </c>
      <c r="AP93" s="251">
        <v>1</v>
      </c>
      <c r="AQ93" s="251">
        <v>3</v>
      </c>
      <c r="AR93" s="251">
        <v>5</v>
      </c>
      <c r="AS93" s="251">
        <v>6</v>
      </c>
      <c r="AT93" s="252"/>
      <c r="AU93" s="252"/>
      <c r="AV93" s="252"/>
      <c r="AW93" s="252"/>
      <c r="AX93" s="253">
        <v>7</v>
      </c>
      <c r="AY93" s="253">
        <v>4</v>
      </c>
      <c r="AZ93" s="254" t="s">
        <v>7</v>
      </c>
      <c r="BA93" s="244">
        <v>3577</v>
      </c>
      <c r="BB93" s="242">
        <v>0.26024008730447434</v>
      </c>
      <c r="BC93" s="244">
        <v>2832</v>
      </c>
      <c r="BD93" s="255">
        <v>0.20603855947617317</v>
      </c>
    </row>
    <row r="94" spans="1:56" ht="17.100000000000001" customHeight="1">
      <c r="A94" s="239" t="s">
        <v>446</v>
      </c>
      <c r="B94" s="240">
        <v>232246</v>
      </c>
      <c r="C94" s="241">
        <v>50898</v>
      </c>
      <c r="D94" s="242">
        <v>0.31822387835742511</v>
      </c>
      <c r="E94" s="243">
        <v>71102</v>
      </c>
      <c r="F94" s="242">
        <v>0.44454309008152854</v>
      </c>
      <c r="G94" s="241">
        <v>23496</v>
      </c>
      <c r="H94" s="242">
        <v>0.1469014154954234</v>
      </c>
      <c r="I94" s="241">
        <v>2793</v>
      </c>
      <c r="J94" s="242">
        <v>1.7462361826639322E-2</v>
      </c>
      <c r="K94" s="241">
        <v>3928</v>
      </c>
      <c r="L94" s="242">
        <v>2.4558595508427948E-2</v>
      </c>
      <c r="M94" s="222"/>
      <c r="N94" s="223"/>
      <c r="O94" s="222"/>
      <c r="P94" s="223"/>
      <c r="Q94" s="222"/>
      <c r="R94" s="223"/>
      <c r="S94" s="222"/>
      <c r="T94" s="223"/>
      <c r="U94" s="241">
        <v>166</v>
      </c>
      <c r="V94" s="242">
        <v>1.0378632521382484E-3</v>
      </c>
      <c r="W94" s="244">
        <v>152383</v>
      </c>
      <c r="X94" s="242">
        <v>0.95272720452158255</v>
      </c>
      <c r="Y94" s="241">
        <v>7561</v>
      </c>
      <c r="Z94" s="245">
        <v>4.7272795478417444E-2</v>
      </c>
      <c r="AA94" s="246">
        <v>159944</v>
      </c>
      <c r="AC94" s="247"/>
      <c r="AD94" s="248">
        <v>0</v>
      </c>
      <c r="AF94" s="247"/>
      <c r="AG94" s="248">
        <v>0</v>
      </c>
      <c r="AI94" s="240">
        <v>159944</v>
      </c>
      <c r="AJ94" s="248">
        <v>0.68868355106223578</v>
      </c>
      <c r="AL94" s="249" t="s">
        <v>410</v>
      </c>
      <c r="AM94" s="244">
        <v>71102</v>
      </c>
      <c r="AN94" s="250">
        <v>0.44454309008152854</v>
      </c>
      <c r="AO94" s="251">
        <v>2</v>
      </c>
      <c r="AP94" s="251">
        <v>1</v>
      </c>
      <c r="AQ94" s="251">
        <v>3</v>
      </c>
      <c r="AR94" s="251">
        <v>6</v>
      </c>
      <c r="AS94" s="251">
        <v>5</v>
      </c>
      <c r="AT94" s="252"/>
      <c r="AU94" s="252"/>
      <c r="AV94" s="252"/>
      <c r="AW94" s="252"/>
      <c r="AX94" s="253">
        <v>7</v>
      </c>
      <c r="AY94" s="253">
        <v>4</v>
      </c>
      <c r="AZ94" s="254" t="s">
        <v>7</v>
      </c>
      <c r="BA94" s="244">
        <v>50898</v>
      </c>
      <c r="BB94" s="242">
        <v>0.31822387835742511</v>
      </c>
      <c r="BC94" s="244">
        <v>20204</v>
      </c>
      <c r="BD94" s="255">
        <v>0.12631921172410343</v>
      </c>
    </row>
    <row r="95" spans="1:56" ht="17.100000000000001" customHeight="1">
      <c r="A95" s="239" t="s">
        <v>447</v>
      </c>
      <c r="B95" s="240">
        <v>50495</v>
      </c>
      <c r="C95" s="241">
        <v>1391</v>
      </c>
      <c r="D95" s="242">
        <v>4.1912739544413644E-2</v>
      </c>
      <c r="E95" s="243">
        <v>14341</v>
      </c>
      <c r="F95" s="242">
        <v>0.43211401711461972</v>
      </c>
      <c r="G95" s="222"/>
      <c r="H95" s="223"/>
      <c r="I95" s="241">
        <v>1024</v>
      </c>
      <c r="J95" s="242">
        <v>3.085452573219236E-2</v>
      </c>
      <c r="K95" s="222"/>
      <c r="L95" s="223"/>
      <c r="M95" s="222"/>
      <c r="N95" s="223"/>
      <c r="O95" s="222"/>
      <c r="P95" s="223"/>
      <c r="Q95" s="241">
        <v>14250</v>
      </c>
      <c r="R95" s="242">
        <v>0.42937206219115343</v>
      </c>
      <c r="S95" s="222"/>
      <c r="T95" s="223"/>
      <c r="U95" s="241">
        <v>8</v>
      </c>
      <c r="V95" s="242">
        <v>2.4105098228275281E-4</v>
      </c>
      <c r="W95" s="244">
        <v>31014</v>
      </c>
      <c r="X95" s="242">
        <v>0.93449439556466196</v>
      </c>
      <c r="Y95" s="241">
        <v>2174</v>
      </c>
      <c r="Z95" s="245">
        <v>6.550560443533808E-2</v>
      </c>
      <c r="AA95" s="246">
        <v>33188</v>
      </c>
      <c r="AC95" s="247"/>
      <c r="AD95" s="248">
        <v>0</v>
      </c>
      <c r="AF95" s="247"/>
      <c r="AG95" s="248">
        <v>0</v>
      </c>
      <c r="AI95" s="240">
        <v>33188</v>
      </c>
      <c r="AJ95" s="248">
        <v>0.65725319338548371</v>
      </c>
      <c r="AL95" s="249" t="s">
        <v>410</v>
      </c>
      <c r="AM95" s="244">
        <v>14341</v>
      </c>
      <c r="AN95" s="250">
        <v>0.43211401711461972</v>
      </c>
      <c r="AO95" s="251">
        <v>4</v>
      </c>
      <c r="AP95" s="251">
        <v>1</v>
      </c>
      <c r="AQ95" s="252"/>
      <c r="AR95" s="251">
        <v>5</v>
      </c>
      <c r="AS95" s="252"/>
      <c r="AT95" s="252"/>
      <c r="AU95" s="252"/>
      <c r="AV95" s="251">
        <v>2</v>
      </c>
      <c r="AW95" s="252"/>
      <c r="AX95" s="253">
        <v>6</v>
      </c>
      <c r="AY95" s="253">
        <v>3</v>
      </c>
      <c r="AZ95" s="254" t="s">
        <v>424</v>
      </c>
      <c r="BA95" s="244">
        <v>14250</v>
      </c>
      <c r="BB95" s="242">
        <v>0.42937206219115343</v>
      </c>
      <c r="BC95" s="244">
        <v>91</v>
      </c>
      <c r="BD95" s="255">
        <v>2.7419549234662943E-3</v>
      </c>
    </row>
    <row r="96" spans="1:56" ht="17.100000000000001" customHeight="1">
      <c r="A96" s="239" t="s">
        <v>312</v>
      </c>
      <c r="B96" s="240">
        <v>8277</v>
      </c>
      <c r="C96" s="241">
        <v>240</v>
      </c>
      <c r="D96" s="242">
        <v>4.3103448275862072E-2</v>
      </c>
      <c r="E96" s="243">
        <v>1695</v>
      </c>
      <c r="F96" s="242">
        <v>0.30441810344827586</v>
      </c>
      <c r="G96" s="241">
        <v>745</v>
      </c>
      <c r="H96" s="242">
        <v>0.13380028735632185</v>
      </c>
      <c r="I96" s="222"/>
      <c r="J96" s="223"/>
      <c r="K96" s="222"/>
      <c r="L96" s="223"/>
      <c r="M96" s="222"/>
      <c r="N96" s="223"/>
      <c r="O96" s="222"/>
      <c r="P96" s="223"/>
      <c r="Q96" s="222"/>
      <c r="R96" s="223"/>
      <c r="S96" s="241">
        <v>2682</v>
      </c>
      <c r="T96" s="242">
        <v>0.48168103448275862</v>
      </c>
      <c r="U96" s="241">
        <v>4</v>
      </c>
      <c r="V96" s="242">
        <v>7.1839080459770114E-4</v>
      </c>
      <c r="W96" s="244">
        <v>5366</v>
      </c>
      <c r="X96" s="242">
        <v>0.96372126436781613</v>
      </c>
      <c r="Y96" s="241">
        <v>202</v>
      </c>
      <c r="Z96" s="245">
        <v>3.6278735632183909E-2</v>
      </c>
      <c r="AA96" s="246">
        <v>5568</v>
      </c>
      <c r="AC96" s="247"/>
      <c r="AD96" s="248">
        <v>0</v>
      </c>
      <c r="AF96" s="247"/>
      <c r="AG96" s="248">
        <v>0</v>
      </c>
      <c r="AI96" s="240">
        <v>5568</v>
      </c>
      <c r="AJ96" s="248">
        <v>0.6727075027183762</v>
      </c>
      <c r="AL96" s="249" t="s">
        <v>425</v>
      </c>
      <c r="AM96" s="244">
        <v>2682</v>
      </c>
      <c r="AN96" s="250">
        <v>0.48168103448275862</v>
      </c>
      <c r="AO96" s="251">
        <v>4</v>
      </c>
      <c r="AP96" s="251">
        <v>2</v>
      </c>
      <c r="AQ96" s="251">
        <v>3</v>
      </c>
      <c r="AR96" s="252"/>
      <c r="AS96" s="252"/>
      <c r="AT96" s="252"/>
      <c r="AU96" s="252"/>
      <c r="AV96" s="252"/>
      <c r="AW96" s="251">
        <v>1</v>
      </c>
      <c r="AX96" s="253">
        <v>6</v>
      </c>
      <c r="AY96" s="253">
        <v>5</v>
      </c>
      <c r="AZ96" s="254" t="s">
        <v>410</v>
      </c>
      <c r="BA96" s="244">
        <v>1695</v>
      </c>
      <c r="BB96" s="242">
        <v>0.30441810344827586</v>
      </c>
      <c r="BC96" s="244">
        <v>987</v>
      </c>
      <c r="BD96" s="255">
        <v>0.17726293103448276</v>
      </c>
    </row>
    <row r="97" spans="1:56" ht="17.100000000000001" customHeight="1">
      <c r="A97" s="239" t="s">
        <v>313</v>
      </c>
      <c r="B97" s="240">
        <v>23057</v>
      </c>
      <c r="C97" s="241">
        <v>5835</v>
      </c>
      <c r="D97" s="242">
        <v>0.34522541711040111</v>
      </c>
      <c r="E97" s="243">
        <v>6307</v>
      </c>
      <c r="F97" s="242">
        <v>0.37315110637794346</v>
      </c>
      <c r="G97" s="241">
        <v>2197</v>
      </c>
      <c r="H97" s="242">
        <v>0.12998461720506449</v>
      </c>
      <c r="I97" s="241">
        <v>1834</v>
      </c>
      <c r="J97" s="242">
        <v>0.10850786889125548</v>
      </c>
      <c r="K97" s="241">
        <v>62</v>
      </c>
      <c r="L97" s="242">
        <v>3.6682049461602179E-3</v>
      </c>
      <c r="M97" s="222"/>
      <c r="N97" s="223"/>
      <c r="O97" s="222"/>
      <c r="P97" s="223"/>
      <c r="Q97" s="222"/>
      <c r="R97" s="223"/>
      <c r="S97" s="222"/>
      <c r="T97" s="223"/>
      <c r="U97" s="241">
        <v>7</v>
      </c>
      <c r="V97" s="242">
        <v>4.1415217134066972E-4</v>
      </c>
      <c r="W97" s="244">
        <v>16242</v>
      </c>
      <c r="X97" s="242">
        <v>0.96095136670216541</v>
      </c>
      <c r="Y97" s="241">
        <v>660</v>
      </c>
      <c r="Z97" s="245">
        <v>3.9048633297834576E-2</v>
      </c>
      <c r="AA97" s="246">
        <v>16902</v>
      </c>
      <c r="AC97" s="247"/>
      <c r="AD97" s="248">
        <v>0</v>
      </c>
      <c r="AF97" s="247"/>
      <c r="AG97" s="248">
        <v>0</v>
      </c>
      <c r="AI97" s="240">
        <v>16902</v>
      </c>
      <c r="AJ97" s="248">
        <v>0.73305286897688338</v>
      </c>
      <c r="AL97" s="249" t="s">
        <v>410</v>
      </c>
      <c r="AM97" s="244">
        <v>6307</v>
      </c>
      <c r="AN97" s="250">
        <v>0.37315110637794346</v>
      </c>
      <c r="AO97" s="251">
        <v>2</v>
      </c>
      <c r="AP97" s="251">
        <v>1</v>
      </c>
      <c r="AQ97" s="251">
        <v>3</v>
      </c>
      <c r="AR97" s="251">
        <v>4</v>
      </c>
      <c r="AS97" s="251">
        <v>6</v>
      </c>
      <c r="AT97" s="252"/>
      <c r="AU97" s="252"/>
      <c r="AV97" s="252"/>
      <c r="AW97" s="252"/>
      <c r="AX97" s="253">
        <v>7</v>
      </c>
      <c r="AY97" s="253">
        <v>5</v>
      </c>
      <c r="AZ97" s="254" t="s">
        <v>7</v>
      </c>
      <c r="BA97" s="244">
        <v>5835</v>
      </c>
      <c r="BB97" s="256">
        <v>0.34522541711040111</v>
      </c>
      <c r="BC97" s="244">
        <v>472</v>
      </c>
      <c r="BD97" s="255">
        <v>2.7925689267542353E-2</v>
      </c>
    </row>
    <row r="98" spans="1:56" ht="17.100000000000001" customHeight="1">
      <c r="A98" s="239" t="s">
        <v>314</v>
      </c>
      <c r="B98" s="240">
        <v>43684</v>
      </c>
      <c r="C98" s="241">
        <v>9043</v>
      </c>
      <c r="D98" s="242">
        <v>0.30957516004244978</v>
      </c>
      <c r="E98" s="243">
        <v>13317</v>
      </c>
      <c r="F98" s="242">
        <v>0.45588990448803535</v>
      </c>
      <c r="G98" s="241">
        <v>3434</v>
      </c>
      <c r="H98" s="242">
        <v>0.11755845400705214</v>
      </c>
      <c r="I98" s="241">
        <v>623</v>
      </c>
      <c r="J98" s="242">
        <v>2.1327582075245627E-2</v>
      </c>
      <c r="K98" s="241">
        <v>976</v>
      </c>
      <c r="L98" s="242">
        <v>3.3412070795248362E-2</v>
      </c>
      <c r="M98" s="222"/>
      <c r="N98" s="223"/>
      <c r="O98" s="222"/>
      <c r="P98" s="223"/>
      <c r="Q98" s="222"/>
      <c r="R98" s="223"/>
      <c r="S98" s="222"/>
      <c r="T98" s="223"/>
      <c r="U98" s="241">
        <v>19</v>
      </c>
      <c r="V98" s="242">
        <v>6.5043990277635134E-4</v>
      </c>
      <c r="W98" s="244">
        <v>27412</v>
      </c>
      <c r="X98" s="242">
        <v>0.93841361131080758</v>
      </c>
      <c r="Y98" s="241">
        <v>1799</v>
      </c>
      <c r="Z98" s="245">
        <v>6.1586388689192424E-2</v>
      </c>
      <c r="AA98" s="246">
        <v>29211</v>
      </c>
      <c r="AC98" s="247"/>
      <c r="AD98" s="248">
        <v>0</v>
      </c>
      <c r="AF98" s="247"/>
      <c r="AG98" s="248">
        <v>0</v>
      </c>
      <c r="AI98" s="240">
        <v>29211</v>
      </c>
      <c r="AJ98" s="248">
        <v>0.66868876476513139</v>
      </c>
      <c r="AL98" s="249" t="s">
        <v>410</v>
      </c>
      <c r="AM98" s="244">
        <v>13317</v>
      </c>
      <c r="AN98" s="250">
        <v>0.45588990448803535</v>
      </c>
      <c r="AO98" s="251">
        <v>2</v>
      </c>
      <c r="AP98" s="251">
        <v>1</v>
      </c>
      <c r="AQ98" s="251">
        <v>3</v>
      </c>
      <c r="AR98" s="251">
        <v>6</v>
      </c>
      <c r="AS98" s="251">
        <v>5</v>
      </c>
      <c r="AT98" s="252"/>
      <c r="AU98" s="252"/>
      <c r="AV98" s="252"/>
      <c r="AW98" s="252"/>
      <c r="AX98" s="253">
        <v>7</v>
      </c>
      <c r="AY98" s="253">
        <v>4</v>
      </c>
      <c r="AZ98" s="254" t="s">
        <v>7</v>
      </c>
      <c r="BA98" s="244">
        <v>9043</v>
      </c>
      <c r="BB98" s="242">
        <v>0.30957516004244978</v>
      </c>
      <c r="BC98" s="244">
        <v>4274</v>
      </c>
      <c r="BD98" s="255">
        <v>0.14631474444558557</v>
      </c>
    </row>
    <row r="99" spans="1:56" ht="17.100000000000001" customHeight="1">
      <c r="A99" s="239" t="s">
        <v>315</v>
      </c>
      <c r="B99" s="240">
        <v>21287</v>
      </c>
      <c r="C99" s="241">
        <v>4601</v>
      </c>
      <c r="D99" s="242">
        <v>0.29491699250048076</v>
      </c>
      <c r="E99" s="243">
        <v>5506</v>
      </c>
      <c r="F99" s="242">
        <v>0.352926094481123</v>
      </c>
      <c r="G99" s="241">
        <v>4528</v>
      </c>
      <c r="H99" s="242">
        <v>0.29023780526889303</v>
      </c>
      <c r="I99" s="241">
        <v>173</v>
      </c>
      <c r="J99" s="242">
        <v>1.1089032754310621E-2</v>
      </c>
      <c r="K99" s="241">
        <v>35</v>
      </c>
      <c r="L99" s="242">
        <v>2.2434459329530158E-3</v>
      </c>
      <c r="M99" s="222"/>
      <c r="N99" s="223"/>
      <c r="O99" s="222"/>
      <c r="P99" s="223"/>
      <c r="Q99" s="222"/>
      <c r="R99" s="223"/>
      <c r="S99" s="222"/>
      <c r="T99" s="223"/>
      <c r="U99" s="241">
        <v>7</v>
      </c>
      <c r="V99" s="242">
        <v>4.4868918659060316E-4</v>
      </c>
      <c r="W99" s="244">
        <v>14850</v>
      </c>
      <c r="X99" s="242">
        <v>0.95186206012435104</v>
      </c>
      <c r="Y99" s="241">
        <v>751</v>
      </c>
      <c r="Z99" s="245">
        <v>4.8137939875648995E-2</v>
      </c>
      <c r="AA99" s="246">
        <v>15601</v>
      </c>
      <c r="AC99" s="247"/>
      <c r="AD99" s="248">
        <v>0</v>
      </c>
      <c r="AF99" s="247"/>
      <c r="AG99" s="248">
        <v>0</v>
      </c>
      <c r="AI99" s="240">
        <v>15601</v>
      </c>
      <c r="AJ99" s="248">
        <v>0.73288861746605904</v>
      </c>
      <c r="AL99" s="249" t="s">
        <v>410</v>
      </c>
      <c r="AM99" s="244">
        <v>5506</v>
      </c>
      <c r="AN99" s="250">
        <v>0.352926094481123</v>
      </c>
      <c r="AO99" s="251">
        <v>2</v>
      </c>
      <c r="AP99" s="251">
        <v>1</v>
      </c>
      <c r="AQ99" s="251">
        <v>3</v>
      </c>
      <c r="AR99" s="251">
        <v>5</v>
      </c>
      <c r="AS99" s="251">
        <v>6</v>
      </c>
      <c r="AT99" s="252"/>
      <c r="AU99" s="252"/>
      <c r="AV99" s="252"/>
      <c r="AW99" s="252"/>
      <c r="AX99" s="253">
        <v>7</v>
      </c>
      <c r="AY99" s="253">
        <v>4</v>
      </c>
      <c r="AZ99" s="254" t="s">
        <v>7</v>
      </c>
      <c r="BA99" s="244">
        <v>4601</v>
      </c>
      <c r="BB99" s="242">
        <v>0.29491699250048076</v>
      </c>
      <c r="BC99" s="244">
        <v>905</v>
      </c>
      <c r="BD99" s="255">
        <v>5.8009101980642241E-2</v>
      </c>
    </row>
    <row r="100" spans="1:56" ht="17.100000000000001" customHeight="1">
      <c r="A100" s="239" t="s">
        <v>316</v>
      </c>
      <c r="B100" s="240">
        <v>53906</v>
      </c>
      <c r="C100" s="241">
        <v>9011</v>
      </c>
      <c r="D100" s="242">
        <v>0.25304689693906207</v>
      </c>
      <c r="E100" s="243">
        <v>13533</v>
      </c>
      <c r="F100" s="242">
        <v>0.38003369839932605</v>
      </c>
      <c r="G100" s="241">
        <v>1414</v>
      </c>
      <c r="H100" s="242">
        <v>3.9707947205841053E-2</v>
      </c>
      <c r="I100" s="241">
        <v>4962</v>
      </c>
      <c r="J100" s="242">
        <v>0.13934288121314237</v>
      </c>
      <c r="K100" s="241">
        <v>4721</v>
      </c>
      <c r="L100" s="242">
        <v>0.13257511934849761</v>
      </c>
      <c r="M100" s="222"/>
      <c r="N100" s="223"/>
      <c r="O100" s="222"/>
      <c r="P100" s="223"/>
      <c r="Q100" s="222"/>
      <c r="R100" s="223"/>
      <c r="S100" s="222"/>
      <c r="T100" s="223"/>
      <c r="U100" s="241">
        <v>41</v>
      </c>
      <c r="V100" s="242">
        <v>1.1513619769727606E-3</v>
      </c>
      <c r="W100" s="244">
        <v>33682</v>
      </c>
      <c r="X100" s="242">
        <v>0.94585790508284184</v>
      </c>
      <c r="Y100" s="241">
        <v>1928</v>
      </c>
      <c r="Z100" s="245">
        <v>5.4142094917158101E-2</v>
      </c>
      <c r="AA100" s="246">
        <v>35610</v>
      </c>
      <c r="AC100" s="247"/>
      <c r="AD100" s="248">
        <v>0</v>
      </c>
      <c r="AF100" s="247"/>
      <c r="AG100" s="248">
        <v>0</v>
      </c>
      <c r="AI100" s="240">
        <v>35610</v>
      </c>
      <c r="AJ100" s="248">
        <v>0.66059436797388049</v>
      </c>
      <c r="AL100" s="249" t="s">
        <v>410</v>
      </c>
      <c r="AM100" s="244">
        <v>13533</v>
      </c>
      <c r="AN100" s="250">
        <v>0.38003369839932605</v>
      </c>
      <c r="AO100" s="251">
        <v>2</v>
      </c>
      <c r="AP100" s="251">
        <v>1</v>
      </c>
      <c r="AQ100" s="251">
        <v>6</v>
      </c>
      <c r="AR100" s="251">
        <v>3</v>
      </c>
      <c r="AS100" s="251">
        <v>4</v>
      </c>
      <c r="AT100" s="252"/>
      <c r="AU100" s="252"/>
      <c r="AV100" s="252"/>
      <c r="AW100" s="252"/>
      <c r="AX100" s="253">
        <v>7</v>
      </c>
      <c r="AY100" s="253">
        <v>5</v>
      </c>
      <c r="AZ100" s="254" t="s">
        <v>7</v>
      </c>
      <c r="BA100" s="244">
        <v>9011</v>
      </c>
      <c r="BB100" s="242">
        <v>0.25304689693906207</v>
      </c>
      <c r="BC100" s="244">
        <v>4522</v>
      </c>
      <c r="BD100" s="255">
        <v>0.12698680146026398</v>
      </c>
    </row>
    <row r="101" spans="1:56" ht="17.100000000000001" customHeight="1">
      <c r="A101" s="239" t="s">
        <v>317</v>
      </c>
      <c r="B101" s="240">
        <v>60151</v>
      </c>
      <c r="C101" s="241">
        <v>6612</v>
      </c>
      <c r="D101" s="242">
        <v>0.17759871071716357</v>
      </c>
      <c r="E101" s="243">
        <v>15845</v>
      </c>
      <c r="F101" s="242">
        <v>0.42559763631479991</v>
      </c>
      <c r="G101" s="241">
        <v>6797</v>
      </c>
      <c r="H101" s="242">
        <v>0.18256782164920762</v>
      </c>
      <c r="I101" s="241">
        <v>2103</v>
      </c>
      <c r="J101" s="242">
        <v>5.6486704270749394E-2</v>
      </c>
      <c r="K101" s="241">
        <v>3837</v>
      </c>
      <c r="L101" s="242">
        <v>0.10306204673650282</v>
      </c>
      <c r="M101" s="222"/>
      <c r="N101" s="223"/>
      <c r="O101" s="222"/>
      <c r="P101" s="223"/>
      <c r="Q101" s="222"/>
      <c r="R101" s="223"/>
      <c r="S101" s="222"/>
      <c r="T101" s="223"/>
      <c r="U101" s="241">
        <v>40</v>
      </c>
      <c r="V101" s="242">
        <v>1.0744023636852001E-3</v>
      </c>
      <c r="W101" s="244">
        <v>35234</v>
      </c>
      <c r="X101" s="242">
        <v>0.94638732205210852</v>
      </c>
      <c r="Y101" s="241">
        <v>1996</v>
      </c>
      <c r="Z101" s="245">
        <v>5.3612677947891485E-2</v>
      </c>
      <c r="AA101" s="246">
        <v>37230</v>
      </c>
      <c r="AC101" s="247"/>
      <c r="AD101" s="248">
        <v>0</v>
      </c>
      <c r="AF101" s="247"/>
      <c r="AG101" s="248">
        <v>0</v>
      </c>
      <c r="AI101" s="240">
        <v>37230</v>
      </c>
      <c r="AJ101" s="248">
        <v>0.61894232847334207</v>
      </c>
      <c r="AL101" s="249" t="s">
        <v>410</v>
      </c>
      <c r="AM101" s="244">
        <v>15845</v>
      </c>
      <c r="AN101" s="250">
        <v>0.42559763631479991</v>
      </c>
      <c r="AO101" s="251">
        <v>3</v>
      </c>
      <c r="AP101" s="251">
        <v>1</v>
      </c>
      <c r="AQ101" s="251">
        <v>2</v>
      </c>
      <c r="AR101" s="251">
        <v>5</v>
      </c>
      <c r="AS101" s="251">
        <v>4</v>
      </c>
      <c r="AT101" s="252"/>
      <c r="AU101" s="252"/>
      <c r="AV101" s="252"/>
      <c r="AW101" s="252"/>
      <c r="AX101" s="253">
        <v>7</v>
      </c>
      <c r="AY101" s="253">
        <v>6</v>
      </c>
      <c r="AZ101" s="254" t="s">
        <v>10</v>
      </c>
      <c r="BA101" s="244">
        <v>6797</v>
      </c>
      <c r="BB101" s="242">
        <v>0.18256782164920762</v>
      </c>
      <c r="BC101" s="244">
        <v>9048</v>
      </c>
      <c r="BD101" s="255">
        <v>0.24302981466559229</v>
      </c>
    </row>
    <row r="102" spans="1:56" ht="17.100000000000001" customHeight="1">
      <c r="A102" s="239" t="s">
        <v>318</v>
      </c>
      <c r="B102" s="240">
        <v>7324</v>
      </c>
      <c r="C102" s="241">
        <v>1834</v>
      </c>
      <c r="D102" s="242">
        <v>0.32294418031343547</v>
      </c>
      <c r="E102" s="243">
        <v>2153</v>
      </c>
      <c r="F102" s="242">
        <v>0.3791160415566121</v>
      </c>
      <c r="G102" s="241">
        <v>253</v>
      </c>
      <c r="H102" s="242">
        <v>4.4550096848036624E-2</v>
      </c>
      <c r="I102" s="241">
        <v>1169</v>
      </c>
      <c r="J102" s="242">
        <v>0.20584609966543405</v>
      </c>
      <c r="K102" s="241">
        <v>66</v>
      </c>
      <c r="L102" s="242">
        <v>1.162176439513999E-2</v>
      </c>
      <c r="M102" s="222"/>
      <c r="N102" s="223"/>
      <c r="O102" s="222"/>
      <c r="P102" s="223"/>
      <c r="Q102" s="222"/>
      <c r="R102" s="223"/>
      <c r="S102" s="222"/>
      <c r="T102" s="223"/>
      <c r="U102" s="241">
        <v>3</v>
      </c>
      <c r="V102" s="242">
        <v>5.2826201796090863E-4</v>
      </c>
      <c r="W102" s="244">
        <v>5478</v>
      </c>
      <c r="X102" s="242">
        <v>0.96460644479661917</v>
      </c>
      <c r="Y102" s="241">
        <v>201</v>
      </c>
      <c r="Z102" s="245">
        <v>3.5393555203380875E-2</v>
      </c>
      <c r="AA102" s="246">
        <v>5679</v>
      </c>
      <c r="AC102" s="247"/>
      <c r="AD102" s="248">
        <v>0</v>
      </c>
      <c r="AF102" s="247"/>
      <c r="AG102" s="248">
        <v>0</v>
      </c>
      <c r="AI102" s="240">
        <v>5679</v>
      </c>
      <c r="AJ102" s="248">
        <v>0.77539595849262699</v>
      </c>
      <c r="AL102" s="249" t="s">
        <v>410</v>
      </c>
      <c r="AM102" s="244">
        <v>2153</v>
      </c>
      <c r="AN102" s="250">
        <v>0.3791160415566121</v>
      </c>
      <c r="AO102" s="251">
        <v>2</v>
      </c>
      <c r="AP102" s="251">
        <v>1</v>
      </c>
      <c r="AQ102" s="251">
        <v>4</v>
      </c>
      <c r="AR102" s="251">
        <v>3</v>
      </c>
      <c r="AS102" s="251">
        <v>6</v>
      </c>
      <c r="AT102" s="252"/>
      <c r="AU102" s="252"/>
      <c r="AV102" s="252"/>
      <c r="AW102" s="252"/>
      <c r="AX102" s="253">
        <v>7</v>
      </c>
      <c r="AY102" s="253">
        <v>5</v>
      </c>
      <c r="AZ102" s="254" t="s">
        <v>7</v>
      </c>
      <c r="BA102" s="244">
        <v>1834</v>
      </c>
      <c r="BB102" s="242">
        <v>0.32294418031343547</v>
      </c>
      <c r="BC102" s="244">
        <v>319</v>
      </c>
      <c r="BD102" s="255">
        <v>5.6171861243176635E-2</v>
      </c>
    </row>
    <row r="103" spans="1:56" ht="17.100000000000001" customHeight="1">
      <c r="A103" s="239" t="s">
        <v>319</v>
      </c>
      <c r="B103" s="240">
        <v>49746</v>
      </c>
      <c r="C103" s="241">
        <v>1958</v>
      </c>
      <c r="D103" s="242">
        <v>6.0251715542973198E-2</v>
      </c>
      <c r="E103" s="243">
        <v>11479</v>
      </c>
      <c r="F103" s="242">
        <v>0.35323260608671569</v>
      </c>
      <c r="G103" s="241">
        <v>7619</v>
      </c>
      <c r="H103" s="242">
        <v>0.23445241099178385</v>
      </c>
      <c r="I103" s="241">
        <v>6175</v>
      </c>
      <c r="J103" s="242">
        <v>0.19001754008062283</v>
      </c>
      <c r="K103" s="241">
        <v>3828</v>
      </c>
      <c r="L103" s="242">
        <v>0.11779548881435209</v>
      </c>
      <c r="M103" s="222"/>
      <c r="N103" s="223"/>
      <c r="O103" s="222"/>
      <c r="P103" s="223"/>
      <c r="Q103" s="222"/>
      <c r="R103" s="223"/>
      <c r="S103" s="222"/>
      <c r="T103" s="223"/>
      <c r="U103" s="241">
        <v>26</v>
      </c>
      <c r="V103" s="242">
        <v>8.0007385297104351E-4</v>
      </c>
      <c r="W103" s="244">
        <v>31085</v>
      </c>
      <c r="X103" s="242">
        <v>0.95654983536941873</v>
      </c>
      <c r="Y103" s="241">
        <v>1412</v>
      </c>
      <c r="Z103" s="245">
        <v>4.3450164630581281E-2</v>
      </c>
      <c r="AA103" s="246">
        <v>32497</v>
      </c>
      <c r="AC103" s="247"/>
      <c r="AD103" s="248">
        <v>0</v>
      </c>
      <c r="AF103" s="247"/>
      <c r="AG103" s="248">
        <v>0</v>
      </c>
      <c r="AI103" s="240">
        <v>32497</v>
      </c>
      <c r="AJ103" s="248">
        <v>0.65325855345153383</v>
      </c>
      <c r="AL103" s="249" t="s">
        <v>410</v>
      </c>
      <c r="AM103" s="244">
        <v>11479</v>
      </c>
      <c r="AN103" s="250">
        <v>0.35323260608671569</v>
      </c>
      <c r="AO103" s="251">
        <v>5</v>
      </c>
      <c r="AP103" s="251">
        <v>1</v>
      </c>
      <c r="AQ103" s="251">
        <v>2</v>
      </c>
      <c r="AR103" s="251">
        <v>3</v>
      </c>
      <c r="AS103" s="251">
        <v>4</v>
      </c>
      <c r="AT103" s="252"/>
      <c r="AU103" s="252"/>
      <c r="AV103" s="252"/>
      <c r="AW103" s="252"/>
      <c r="AX103" s="253">
        <v>7</v>
      </c>
      <c r="AY103" s="253">
        <v>6</v>
      </c>
      <c r="AZ103" s="254" t="s">
        <v>10</v>
      </c>
      <c r="BA103" s="244">
        <v>7619</v>
      </c>
      <c r="BB103" s="242">
        <v>0.23445241099178385</v>
      </c>
      <c r="BC103" s="244">
        <v>3860</v>
      </c>
      <c r="BD103" s="255">
        <v>0.11878019509493185</v>
      </c>
    </row>
    <row r="104" spans="1:56" ht="17.100000000000001" customHeight="1">
      <c r="A104" s="239" t="s">
        <v>320</v>
      </c>
      <c r="B104" s="240">
        <v>53977</v>
      </c>
      <c r="C104" s="241">
        <v>5775</v>
      </c>
      <c r="D104" s="242">
        <v>0.16738645256659226</v>
      </c>
      <c r="E104" s="243">
        <v>15126</v>
      </c>
      <c r="F104" s="242">
        <v>0.4384220747224718</v>
      </c>
      <c r="G104" s="222"/>
      <c r="H104" s="223"/>
      <c r="I104" s="222"/>
      <c r="J104" s="223"/>
      <c r="K104" s="222"/>
      <c r="L104" s="223"/>
      <c r="M104" s="241">
        <v>12551</v>
      </c>
      <c r="N104" s="242">
        <v>0.36378655691139389</v>
      </c>
      <c r="O104" s="222"/>
      <c r="P104" s="223"/>
      <c r="Q104" s="222"/>
      <c r="R104" s="223"/>
      <c r="S104" s="222"/>
      <c r="T104" s="223"/>
      <c r="U104" s="241">
        <v>76</v>
      </c>
      <c r="V104" s="242">
        <v>2.2028347004434653E-3</v>
      </c>
      <c r="W104" s="244">
        <v>33528</v>
      </c>
      <c r="X104" s="242">
        <v>0.97179791890090139</v>
      </c>
      <c r="Y104" s="241">
        <v>973</v>
      </c>
      <c r="Z104" s="245">
        <v>2.8202081099098577E-2</v>
      </c>
      <c r="AA104" s="246">
        <v>34501</v>
      </c>
      <c r="AC104" s="247"/>
      <c r="AD104" s="248">
        <v>0</v>
      </c>
      <c r="AF104" s="247"/>
      <c r="AG104" s="248">
        <v>0</v>
      </c>
      <c r="AI104" s="240">
        <v>34501</v>
      </c>
      <c r="AJ104" s="248">
        <v>0.63917965059191884</v>
      </c>
      <c r="AL104" s="249" t="s">
        <v>410</v>
      </c>
      <c r="AM104" s="244">
        <v>15126</v>
      </c>
      <c r="AN104" s="250">
        <v>0.4384220747224718</v>
      </c>
      <c r="AO104" s="251">
        <v>3</v>
      </c>
      <c r="AP104" s="251">
        <v>1</v>
      </c>
      <c r="AQ104" s="252"/>
      <c r="AR104" s="252"/>
      <c r="AS104" s="252"/>
      <c r="AT104" s="251">
        <v>2</v>
      </c>
      <c r="AU104" s="252"/>
      <c r="AV104" s="252"/>
      <c r="AW104" s="252"/>
      <c r="AX104" s="253">
        <v>5</v>
      </c>
      <c r="AY104" s="253">
        <v>4</v>
      </c>
      <c r="AZ104" s="254" t="s">
        <v>412</v>
      </c>
      <c r="BA104" s="244">
        <v>12551</v>
      </c>
      <c r="BB104" s="242">
        <v>0.36378655691139389</v>
      </c>
      <c r="BC104" s="244">
        <v>2575</v>
      </c>
      <c r="BD104" s="255">
        <v>7.4635517811077912E-2</v>
      </c>
    </row>
    <row r="105" spans="1:56" ht="17.100000000000001" customHeight="1">
      <c r="A105" s="239" t="s">
        <v>321</v>
      </c>
      <c r="B105" s="240">
        <v>38201</v>
      </c>
      <c r="C105" s="241">
        <v>3421</v>
      </c>
      <c r="D105" s="242">
        <v>0.13077717038113076</v>
      </c>
      <c r="E105" s="243">
        <v>9286</v>
      </c>
      <c r="F105" s="242">
        <v>0.35498298864635497</v>
      </c>
      <c r="G105" s="241">
        <v>11049</v>
      </c>
      <c r="H105" s="242">
        <v>0.42237853128942238</v>
      </c>
      <c r="I105" s="241">
        <v>977</v>
      </c>
      <c r="J105" s="242">
        <v>3.7348522497037351E-2</v>
      </c>
      <c r="K105" s="222"/>
      <c r="L105" s="223"/>
      <c r="M105" s="222"/>
      <c r="N105" s="223"/>
      <c r="O105" s="222"/>
      <c r="P105" s="223"/>
      <c r="Q105" s="222"/>
      <c r="R105" s="223"/>
      <c r="S105" s="222"/>
      <c r="T105" s="223"/>
      <c r="U105" s="241">
        <v>35</v>
      </c>
      <c r="V105" s="242">
        <v>1.3379716350013381E-3</v>
      </c>
      <c r="W105" s="244">
        <v>24768</v>
      </c>
      <c r="X105" s="242">
        <v>0.94682518444894681</v>
      </c>
      <c r="Y105" s="241">
        <v>1391</v>
      </c>
      <c r="Z105" s="245">
        <v>5.3174815551053176E-2</v>
      </c>
      <c r="AA105" s="246">
        <v>26159</v>
      </c>
      <c r="AC105" s="247"/>
      <c r="AD105" s="248">
        <v>0</v>
      </c>
      <c r="AF105" s="247"/>
      <c r="AG105" s="248">
        <v>0</v>
      </c>
      <c r="AI105" s="240">
        <v>26159</v>
      </c>
      <c r="AJ105" s="248">
        <v>0.68477264993063014</v>
      </c>
      <c r="AL105" s="249" t="s">
        <v>10</v>
      </c>
      <c r="AM105" s="244">
        <v>11049</v>
      </c>
      <c r="AN105" s="250">
        <v>0.42237853128942238</v>
      </c>
      <c r="AO105" s="251">
        <v>3</v>
      </c>
      <c r="AP105" s="251">
        <v>2</v>
      </c>
      <c r="AQ105" s="251">
        <v>1</v>
      </c>
      <c r="AR105" s="251">
        <v>5</v>
      </c>
      <c r="AS105" s="252"/>
      <c r="AT105" s="252"/>
      <c r="AU105" s="252"/>
      <c r="AV105" s="252"/>
      <c r="AW105" s="252"/>
      <c r="AX105" s="253">
        <v>6</v>
      </c>
      <c r="AY105" s="253">
        <v>4</v>
      </c>
      <c r="AZ105" s="254" t="s">
        <v>410</v>
      </c>
      <c r="BA105" s="244">
        <v>9286</v>
      </c>
      <c r="BB105" s="242">
        <v>0.35498298864635497</v>
      </c>
      <c r="BC105" s="244">
        <v>1763</v>
      </c>
      <c r="BD105" s="255">
        <v>6.7395542643067408E-2</v>
      </c>
    </row>
    <row r="106" spans="1:56" ht="17.100000000000001" customHeight="1">
      <c r="A106" s="239" t="s">
        <v>322</v>
      </c>
      <c r="B106" s="240">
        <v>17972</v>
      </c>
      <c r="C106" s="241">
        <v>3387</v>
      </c>
      <c r="D106" s="242">
        <v>0.24878801234023798</v>
      </c>
      <c r="E106" s="243">
        <v>4005</v>
      </c>
      <c r="F106" s="242">
        <v>0.29418245923314235</v>
      </c>
      <c r="G106" s="241">
        <v>2782</v>
      </c>
      <c r="H106" s="242">
        <v>0.20434846481563096</v>
      </c>
      <c r="I106" s="222"/>
      <c r="J106" s="223"/>
      <c r="K106" s="222"/>
      <c r="L106" s="223"/>
      <c r="M106" s="222"/>
      <c r="N106" s="223"/>
      <c r="O106" s="222"/>
      <c r="P106" s="223"/>
      <c r="Q106" s="222"/>
      <c r="R106" s="223"/>
      <c r="S106" s="241">
        <v>2899</v>
      </c>
      <c r="T106" s="242">
        <v>0.21294255913030705</v>
      </c>
      <c r="U106" s="241">
        <v>19</v>
      </c>
      <c r="V106" s="242">
        <v>1.3956221536653446E-3</v>
      </c>
      <c r="W106" s="244">
        <v>13092</v>
      </c>
      <c r="X106" s="242">
        <v>0.96165711767298367</v>
      </c>
      <c r="Y106" s="241">
        <v>522</v>
      </c>
      <c r="Z106" s="245">
        <v>3.8342882327016305E-2</v>
      </c>
      <c r="AA106" s="246">
        <v>13614</v>
      </c>
      <c r="AC106" s="247"/>
      <c r="AD106" s="248">
        <v>0</v>
      </c>
      <c r="AF106" s="247"/>
      <c r="AG106" s="248">
        <v>0</v>
      </c>
      <c r="AI106" s="240">
        <v>13614</v>
      </c>
      <c r="AJ106" s="248">
        <v>0.75751168484308928</v>
      </c>
      <c r="AL106" s="249" t="s">
        <v>410</v>
      </c>
      <c r="AM106" s="244">
        <v>4005</v>
      </c>
      <c r="AN106" s="250">
        <v>0.29418245923314235</v>
      </c>
      <c r="AO106" s="251">
        <v>2</v>
      </c>
      <c r="AP106" s="251">
        <v>1</v>
      </c>
      <c r="AQ106" s="251">
        <v>4</v>
      </c>
      <c r="AR106" s="252"/>
      <c r="AS106" s="252"/>
      <c r="AT106" s="252"/>
      <c r="AU106" s="252"/>
      <c r="AV106" s="252"/>
      <c r="AW106" s="251">
        <v>3</v>
      </c>
      <c r="AX106" s="253">
        <v>6</v>
      </c>
      <c r="AY106" s="253">
        <v>5</v>
      </c>
      <c r="AZ106" s="254" t="s">
        <v>7</v>
      </c>
      <c r="BA106" s="244">
        <v>3387</v>
      </c>
      <c r="BB106" s="242">
        <v>0.24878801234023798</v>
      </c>
      <c r="BC106" s="244">
        <v>618</v>
      </c>
      <c r="BD106" s="255">
        <v>4.5394446892904367E-2</v>
      </c>
    </row>
    <row r="107" spans="1:56" ht="17.100000000000001" customHeight="1">
      <c r="A107" s="239" t="s">
        <v>323</v>
      </c>
      <c r="B107" s="240">
        <v>12552</v>
      </c>
      <c r="C107" s="241">
        <v>1491</v>
      </c>
      <c r="D107" s="242">
        <v>0.18656156156156156</v>
      </c>
      <c r="E107" s="243">
        <v>3699</v>
      </c>
      <c r="F107" s="242">
        <v>0.46283783783783783</v>
      </c>
      <c r="G107" s="222"/>
      <c r="H107" s="223"/>
      <c r="I107" s="222"/>
      <c r="J107" s="223"/>
      <c r="K107" s="222"/>
      <c r="L107" s="223"/>
      <c r="M107" s="241">
        <v>2600</v>
      </c>
      <c r="N107" s="242">
        <v>0.32532532532532532</v>
      </c>
      <c r="O107" s="222"/>
      <c r="P107" s="223"/>
      <c r="Q107" s="222"/>
      <c r="R107" s="223"/>
      <c r="S107" s="222"/>
      <c r="T107" s="223"/>
      <c r="U107" s="241">
        <v>16</v>
      </c>
      <c r="V107" s="242">
        <v>2.002002002002002E-3</v>
      </c>
      <c r="W107" s="244">
        <v>7806</v>
      </c>
      <c r="X107" s="242">
        <v>0.97672672672672678</v>
      </c>
      <c r="Y107" s="241">
        <v>186</v>
      </c>
      <c r="Z107" s="245">
        <v>2.3273273273273273E-2</v>
      </c>
      <c r="AA107" s="246">
        <v>7992</v>
      </c>
      <c r="AC107" s="247"/>
      <c r="AD107" s="248">
        <v>0</v>
      </c>
      <c r="AF107" s="247"/>
      <c r="AG107" s="248">
        <v>0</v>
      </c>
      <c r="AI107" s="240">
        <v>7992</v>
      </c>
      <c r="AJ107" s="248">
        <v>0.6367112810707457</v>
      </c>
      <c r="AL107" s="249" t="s">
        <v>410</v>
      </c>
      <c r="AM107" s="244">
        <v>3699</v>
      </c>
      <c r="AN107" s="250">
        <v>0.46283783783783783</v>
      </c>
      <c r="AO107" s="251">
        <v>3</v>
      </c>
      <c r="AP107" s="251">
        <v>1</v>
      </c>
      <c r="AQ107" s="252"/>
      <c r="AR107" s="252"/>
      <c r="AS107" s="252"/>
      <c r="AT107" s="251">
        <v>2</v>
      </c>
      <c r="AU107" s="252"/>
      <c r="AV107" s="252"/>
      <c r="AW107" s="252"/>
      <c r="AX107" s="253">
        <v>5</v>
      </c>
      <c r="AY107" s="253">
        <v>4</v>
      </c>
      <c r="AZ107" s="254" t="s">
        <v>412</v>
      </c>
      <c r="BA107" s="244">
        <v>2600</v>
      </c>
      <c r="BB107" s="242">
        <v>0.32532532532532532</v>
      </c>
      <c r="BC107" s="244">
        <v>1099</v>
      </c>
      <c r="BD107" s="255">
        <v>0.13751251251251251</v>
      </c>
    </row>
    <row r="108" spans="1:56" ht="17.100000000000001" customHeight="1">
      <c r="A108" s="239" t="s">
        <v>448</v>
      </c>
      <c r="B108" s="240">
        <v>50792</v>
      </c>
      <c r="C108" s="241">
        <v>10016</v>
      </c>
      <c r="D108" s="242">
        <v>0.29989819749685609</v>
      </c>
      <c r="E108" s="243">
        <v>11733</v>
      </c>
      <c r="F108" s="242">
        <v>0.351308461584526</v>
      </c>
      <c r="G108" s="241">
        <v>7448</v>
      </c>
      <c r="H108" s="242">
        <v>0.2230073657105216</v>
      </c>
      <c r="I108" s="241">
        <v>1453</v>
      </c>
      <c r="J108" s="242">
        <v>4.3505599137672914E-2</v>
      </c>
      <c r="K108" s="241">
        <v>1110</v>
      </c>
      <c r="L108" s="242">
        <v>3.3235523085214685E-2</v>
      </c>
      <c r="M108" s="222"/>
      <c r="N108" s="223"/>
      <c r="O108" s="222"/>
      <c r="P108" s="223"/>
      <c r="Q108" s="222"/>
      <c r="R108" s="223"/>
      <c r="S108" s="222"/>
      <c r="T108" s="223"/>
      <c r="U108" s="241">
        <v>39</v>
      </c>
      <c r="V108" s="242">
        <v>1.1677345948859213E-3</v>
      </c>
      <c r="W108" s="244">
        <v>31799</v>
      </c>
      <c r="X108" s="242">
        <v>0.95212288160967717</v>
      </c>
      <c r="Y108" s="241">
        <v>1599</v>
      </c>
      <c r="Z108" s="245">
        <v>4.787711839032277E-2</v>
      </c>
      <c r="AA108" s="246">
        <v>33398</v>
      </c>
      <c r="AC108" s="247"/>
      <c r="AD108" s="248">
        <v>0</v>
      </c>
      <c r="AF108" s="247"/>
      <c r="AG108" s="248">
        <v>0</v>
      </c>
      <c r="AI108" s="240">
        <v>33398</v>
      </c>
      <c r="AJ108" s="248">
        <v>0.65754449519609393</v>
      </c>
      <c r="AL108" s="249" t="s">
        <v>410</v>
      </c>
      <c r="AM108" s="244">
        <v>11733</v>
      </c>
      <c r="AN108" s="250">
        <v>0.351308461584526</v>
      </c>
      <c r="AO108" s="251">
        <v>2</v>
      </c>
      <c r="AP108" s="251">
        <v>1</v>
      </c>
      <c r="AQ108" s="251">
        <v>3</v>
      </c>
      <c r="AR108" s="251">
        <v>5</v>
      </c>
      <c r="AS108" s="251">
        <v>6</v>
      </c>
      <c r="AT108" s="252"/>
      <c r="AU108" s="252"/>
      <c r="AV108" s="252"/>
      <c r="AW108" s="252"/>
      <c r="AX108" s="253">
        <v>7</v>
      </c>
      <c r="AY108" s="253">
        <v>4</v>
      </c>
      <c r="AZ108" s="254" t="s">
        <v>7</v>
      </c>
      <c r="BA108" s="244">
        <v>10016</v>
      </c>
      <c r="BB108" s="242">
        <v>0.29989819749685609</v>
      </c>
      <c r="BC108" s="244">
        <v>1717</v>
      </c>
      <c r="BD108" s="255">
        <v>5.141026408766991E-2</v>
      </c>
    </row>
    <row r="109" spans="1:56" ht="17.100000000000001" customHeight="1">
      <c r="A109" s="239" t="s">
        <v>449</v>
      </c>
      <c r="B109" s="240">
        <v>22725</v>
      </c>
      <c r="C109" s="241">
        <v>6890</v>
      </c>
      <c r="D109" s="242">
        <v>0.41518529677613741</v>
      </c>
      <c r="E109" s="243">
        <v>4957</v>
      </c>
      <c r="F109" s="242">
        <v>0.29870442904489303</v>
      </c>
      <c r="G109" s="241">
        <v>1755</v>
      </c>
      <c r="H109" s="242">
        <v>0.10575474540524255</v>
      </c>
      <c r="I109" s="241">
        <v>347</v>
      </c>
      <c r="J109" s="242">
        <v>2.0909912624284422E-2</v>
      </c>
      <c r="K109" s="241">
        <v>2181</v>
      </c>
      <c r="L109" s="242">
        <v>0.13142512805061765</v>
      </c>
      <c r="M109" s="222"/>
      <c r="N109" s="222"/>
      <c r="O109" s="222"/>
      <c r="P109" s="223"/>
      <c r="Q109" s="222"/>
      <c r="R109" s="223"/>
      <c r="S109" s="222"/>
      <c r="T109" s="223"/>
      <c r="U109" s="241">
        <v>28</v>
      </c>
      <c r="V109" s="242">
        <v>1.687255197348599E-3</v>
      </c>
      <c r="W109" s="244">
        <v>16158</v>
      </c>
      <c r="X109" s="242">
        <v>0.97366676709852362</v>
      </c>
      <c r="Y109" s="241">
        <v>437</v>
      </c>
      <c r="Z109" s="245">
        <v>2.633323290147635E-2</v>
      </c>
      <c r="AA109" s="246">
        <v>16595</v>
      </c>
      <c r="AC109" s="247"/>
      <c r="AD109" s="248">
        <v>0</v>
      </c>
      <c r="AF109" s="247"/>
      <c r="AG109" s="248">
        <v>0</v>
      </c>
      <c r="AI109" s="240">
        <v>16595</v>
      </c>
      <c r="AJ109" s="248">
        <v>0.73025302530253022</v>
      </c>
      <c r="AL109" s="249" t="s">
        <v>7</v>
      </c>
      <c r="AM109" s="244">
        <v>6890</v>
      </c>
      <c r="AN109" s="250">
        <v>0.41518529677613741</v>
      </c>
      <c r="AO109" s="251">
        <v>1</v>
      </c>
      <c r="AP109" s="251">
        <v>2</v>
      </c>
      <c r="AQ109" s="251">
        <v>4</v>
      </c>
      <c r="AR109" s="251">
        <v>6</v>
      </c>
      <c r="AS109" s="251">
        <v>3</v>
      </c>
      <c r="AT109" s="252"/>
      <c r="AU109" s="252"/>
      <c r="AV109" s="252"/>
      <c r="AW109" s="252"/>
      <c r="AX109" s="253">
        <v>7</v>
      </c>
      <c r="AY109" s="253">
        <v>5</v>
      </c>
      <c r="AZ109" s="254" t="s">
        <v>410</v>
      </c>
      <c r="BA109" s="244">
        <v>4957</v>
      </c>
      <c r="BB109" s="242">
        <v>0.29870442904489303</v>
      </c>
      <c r="BC109" s="244">
        <v>1933</v>
      </c>
      <c r="BD109" s="255">
        <v>0.11648086773124439</v>
      </c>
    </row>
    <row r="110" spans="1:56" ht="17.100000000000001" customHeight="1">
      <c r="A110" s="239" t="s">
        <v>450</v>
      </c>
      <c r="B110" s="240">
        <v>11942</v>
      </c>
      <c r="C110" s="241">
        <v>3072</v>
      </c>
      <c r="D110" s="242">
        <v>0.32771495626200126</v>
      </c>
      <c r="E110" s="243">
        <v>2979</v>
      </c>
      <c r="F110" s="242">
        <v>0.31779389801578833</v>
      </c>
      <c r="G110" s="222"/>
      <c r="H110" s="223"/>
      <c r="I110" s="222"/>
      <c r="J110" s="223"/>
      <c r="K110" s="241">
        <v>95</v>
      </c>
      <c r="L110" s="242">
        <v>1.0134414337529336E-2</v>
      </c>
      <c r="M110" s="222"/>
      <c r="N110" s="223"/>
      <c r="O110" s="241">
        <v>1554</v>
      </c>
      <c r="P110" s="242">
        <v>0.16577768295284831</v>
      </c>
      <c r="Q110" s="222"/>
      <c r="R110" s="223"/>
      <c r="S110" s="222"/>
      <c r="T110" s="223"/>
      <c r="U110" s="241">
        <v>0</v>
      </c>
      <c r="V110" s="242">
        <v>0</v>
      </c>
      <c r="W110" s="244">
        <v>7700</v>
      </c>
      <c r="X110" s="242">
        <v>0.8214209515681673</v>
      </c>
      <c r="Y110" s="241">
        <v>267</v>
      </c>
      <c r="Z110" s="245">
        <v>2.8483038190740346E-2</v>
      </c>
      <c r="AA110" s="246">
        <v>7967</v>
      </c>
      <c r="AC110" s="247">
        <v>1407</v>
      </c>
      <c r="AD110" s="248">
        <v>0.15009601024109237</v>
      </c>
      <c r="AF110" s="247"/>
      <c r="AG110" s="248">
        <v>0</v>
      </c>
      <c r="AI110" s="240">
        <v>9374</v>
      </c>
      <c r="AJ110" s="248">
        <v>0.78496064310835711</v>
      </c>
      <c r="AL110" s="249" t="s">
        <v>7</v>
      </c>
      <c r="AM110" s="244">
        <v>3072</v>
      </c>
      <c r="AN110" s="250">
        <v>0.32771495626200126</v>
      </c>
      <c r="AO110" s="251">
        <v>1</v>
      </c>
      <c r="AP110" s="251">
        <v>2</v>
      </c>
      <c r="AQ110" s="251">
        <v>6</v>
      </c>
      <c r="AR110" s="251">
        <v>6</v>
      </c>
      <c r="AS110" s="251">
        <v>5</v>
      </c>
      <c r="AT110" s="251">
        <v>6</v>
      </c>
      <c r="AU110" s="251">
        <v>3</v>
      </c>
      <c r="AV110" s="251">
        <v>6</v>
      </c>
      <c r="AW110" s="251">
        <v>6</v>
      </c>
      <c r="AX110" s="253">
        <v>6</v>
      </c>
      <c r="AY110" s="253">
        <v>4</v>
      </c>
      <c r="AZ110" s="254" t="s">
        <v>410</v>
      </c>
      <c r="BA110" s="244">
        <v>2979</v>
      </c>
      <c r="BB110" s="242">
        <v>0.31779389801578833</v>
      </c>
      <c r="BC110" s="244">
        <v>93</v>
      </c>
      <c r="BD110" s="255">
        <v>9.9210582462129215E-3</v>
      </c>
    </row>
    <row r="111" spans="1:56" ht="17.100000000000001" customHeight="1">
      <c r="A111" s="239" t="s">
        <v>327</v>
      </c>
      <c r="B111" s="240">
        <v>3451</v>
      </c>
      <c r="C111" s="241">
        <v>263</v>
      </c>
      <c r="D111" s="242">
        <v>9.9696739954510991E-2</v>
      </c>
      <c r="E111" s="243">
        <v>901</v>
      </c>
      <c r="F111" s="242">
        <v>0.34154662623199394</v>
      </c>
      <c r="G111" s="241">
        <v>418</v>
      </c>
      <c r="H111" s="242">
        <v>0.15845337376800606</v>
      </c>
      <c r="I111" s="241">
        <v>291</v>
      </c>
      <c r="J111" s="242">
        <v>0.11031084154662624</v>
      </c>
      <c r="K111" s="241">
        <v>670</v>
      </c>
      <c r="L111" s="242">
        <v>0.25398028809704321</v>
      </c>
      <c r="M111" s="222"/>
      <c r="N111" s="222"/>
      <c r="O111" s="222"/>
      <c r="P111" s="223"/>
      <c r="Q111" s="222"/>
      <c r="R111" s="223"/>
      <c r="S111" s="222"/>
      <c r="T111" s="223"/>
      <c r="U111" s="241">
        <v>0</v>
      </c>
      <c r="V111" s="242">
        <v>0</v>
      </c>
      <c r="W111" s="244">
        <v>2543</v>
      </c>
      <c r="X111" s="242">
        <v>0.96398786959818039</v>
      </c>
      <c r="Y111" s="241">
        <v>95</v>
      </c>
      <c r="Z111" s="245">
        <v>3.601213040181956E-2</v>
      </c>
      <c r="AA111" s="246">
        <v>2638</v>
      </c>
      <c r="AC111" s="247"/>
      <c r="AD111" s="248">
        <v>0</v>
      </c>
      <c r="AF111" s="247"/>
      <c r="AG111" s="248">
        <v>0</v>
      </c>
      <c r="AI111" s="240">
        <v>2638</v>
      </c>
      <c r="AJ111" s="248">
        <v>0.76441611127209508</v>
      </c>
      <c r="AL111" s="249" t="s">
        <v>410</v>
      </c>
      <c r="AM111" s="244">
        <v>901</v>
      </c>
      <c r="AN111" s="250">
        <v>0.34154662623199394</v>
      </c>
      <c r="AO111" s="251">
        <v>5</v>
      </c>
      <c r="AP111" s="251">
        <v>1</v>
      </c>
      <c r="AQ111" s="251">
        <v>3</v>
      </c>
      <c r="AR111" s="251">
        <v>4</v>
      </c>
      <c r="AS111" s="251">
        <v>2</v>
      </c>
      <c r="AT111" s="251">
        <v>7</v>
      </c>
      <c r="AU111" s="251">
        <v>7</v>
      </c>
      <c r="AV111" s="251">
        <v>7</v>
      </c>
      <c r="AW111" s="251">
        <v>7</v>
      </c>
      <c r="AX111" s="253">
        <v>7</v>
      </c>
      <c r="AY111" s="253">
        <v>6</v>
      </c>
      <c r="AZ111" s="254" t="s">
        <v>411</v>
      </c>
      <c r="BA111" s="244">
        <v>670</v>
      </c>
      <c r="BB111" s="242">
        <v>0.25398028809704321</v>
      </c>
      <c r="BC111" s="244">
        <v>231</v>
      </c>
      <c r="BD111" s="255">
        <v>8.7566338134950739E-2</v>
      </c>
    </row>
    <row r="112" spans="1:56" ht="17.100000000000001" customHeight="1">
      <c r="A112" s="239" t="s">
        <v>328</v>
      </c>
      <c r="B112" s="240">
        <v>160368</v>
      </c>
      <c r="C112" s="241">
        <v>7953</v>
      </c>
      <c r="D112" s="242">
        <v>7.4864447624068076E-2</v>
      </c>
      <c r="E112" s="243">
        <v>26458</v>
      </c>
      <c r="F112" s="242">
        <v>0.24905866405602831</v>
      </c>
      <c r="G112" s="241">
        <v>29255</v>
      </c>
      <c r="H112" s="242">
        <v>0.27538783040891635</v>
      </c>
      <c r="I112" s="222"/>
      <c r="J112" s="223"/>
      <c r="K112" s="222"/>
      <c r="L112" s="223"/>
      <c r="M112" s="222"/>
      <c r="N112" s="223"/>
      <c r="O112" s="222"/>
      <c r="P112" s="223"/>
      <c r="Q112" s="222"/>
      <c r="R112" s="223"/>
      <c r="S112" s="241">
        <v>36892</v>
      </c>
      <c r="T112" s="242">
        <v>0.34727765645003389</v>
      </c>
      <c r="U112" s="241">
        <v>95</v>
      </c>
      <c r="V112" s="242">
        <v>8.9426914677310035E-4</v>
      </c>
      <c r="W112" s="244">
        <v>100653</v>
      </c>
      <c r="X112" s="242">
        <v>0.94748286768581969</v>
      </c>
      <c r="Y112" s="241">
        <v>5579</v>
      </c>
      <c r="Z112" s="245">
        <v>5.2517132314180287E-2</v>
      </c>
      <c r="AA112" s="246">
        <v>106232</v>
      </c>
      <c r="AC112" s="247"/>
      <c r="AD112" s="248">
        <v>0</v>
      </c>
      <c r="AF112" s="247"/>
      <c r="AG112" s="248">
        <v>0</v>
      </c>
      <c r="AI112" s="240">
        <v>106232</v>
      </c>
      <c r="AJ112" s="248">
        <v>0.66242641923575774</v>
      </c>
      <c r="AL112" s="249" t="s">
        <v>425</v>
      </c>
      <c r="AM112" s="244">
        <v>36892</v>
      </c>
      <c r="AN112" s="250">
        <v>0.34727765645003389</v>
      </c>
      <c r="AO112" s="251">
        <v>4</v>
      </c>
      <c r="AP112" s="251">
        <v>3</v>
      </c>
      <c r="AQ112" s="251">
        <v>2</v>
      </c>
      <c r="AR112" s="252"/>
      <c r="AS112" s="252"/>
      <c r="AT112" s="252"/>
      <c r="AU112" s="252"/>
      <c r="AV112" s="252"/>
      <c r="AW112" s="251">
        <v>1</v>
      </c>
      <c r="AX112" s="253">
        <v>6</v>
      </c>
      <c r="AY112" s="253">
        <v>5</v>
      </c>
      <c r="AZ112" s="254" t="s">
        <v>10</v>
      </c>
      <c r="BA112" s="244">
        <v>29255</v>
      </c>
      <c r="BB112" s="256">
        <v>0.27538783040891635</v>
      </c>
      <c r="BC112" s="244">
        <v>7637</v>
      </c>
      <c r="BD112" s="255">
        <v>7.1889826041117544E-2</v>
      </c>
    </row>
    <row r="113" spans="1:56" ht="17.100000000000001" customHeight="1">
      <c r="A113" s="239" t="s">
        <v>329</v>
      </c>
      <c r="B113" s="240">
        <v>21826</v>
      </c>
      <c r="C113" s="241">
        <v>2655</v>
      </c>
      <c r="D113" s="242">
        <v>0.19500550863018729</v>
      </c>
      <c r="E113" s="243">
        <v>5709</v>
      </c>
      <c r="F113" s="242">
        <v>0.4193169298567756</v>
      </c>
      <c r="G113" s="222"/>
      <c r="H113" s="223"/>
      <c r="I113" s="222"/>
      <c r="J113" s="223"/>
      <c r="K113" s="222"/>
      <c r="L113" s="223"/>
      <c r="M113" s="241">
        <v>4841</v>
      </c>
      <c r="N113" s="242">
        <v>0.35556371648916635</v>
      </c>
      <c r="O113" s="222"/>
      <c r="P113" s="223"/>
      <c r="Q113" s="222"/>
      <c r="R113" s="223"/>
      <c r="S113" s="222"/>
      <c r="T113" s="223"/>
      <c r="U113" s="241">
        <v>35</v>
      </c>
      <c r="V113" s="242">
        <v>2.5706940874035988E-3</v>
      </c>
      <c r="W113" s="244">
        <v>13240</v>
      </c>
      <c r="X113" s="242">
        <v>0.97245684906353291</v>
      </c>
      <c r="Y113" s="241">
        <v>375</v>
      </c>
      <c r="Z113" s="245">
        <v>2.7543150936467132E-2</v>
      </c>
      <c r="AA113" s="246">
        <v>13615</v>
      </c>
      <c r="AC113" s="247"/>
      <c r="AD113" s="248">
        <v>0</v>
      </c>
      <c r="AF113" s="247"/>
      <c r="AG113" s="248">
        <v>0</v>
      </c>
      <c r="AI113" s="240">
        <v>13615</v>
      </c>
      <c r="AJ113" s="248">
        <v>0.62379730596536243</v>
      </c>
      <c r="AL113" s="249" t="s">
        <v>410</v>
      </c>
      <c r="AM113" s="244">
        <v>5709</v>
      </c>
      <c r="AN113" s="250">
        <v>0.4193169298567756</v>
      </c>
      <c r="AO113" s="251">
        <v>3</v>
      </c>
      <c r="AP113" s="251">
        <v>1</v>
      </c>
      <c r="AQ113" s="252"/>
      <c r="AR113" s="252"/>
      <c r="AS113" s="252"/>
      <c r="AT113" s="251">
        <v>2</v>
      </c>
      <c r="AU113" s="252"/>
      <c r="AV113" s="252"/>
      <c r="AW113" s="252"/>
      <c r="AX113" s="253">
        <v>5</v>
      </c>
      <c r="AY113" s="253">
        <v>4</v>
      </c>
      <c r="AZ113" s="254" t="s">
        <v>412</v>
      </c>
      <c r="BA113" s="244">
        <v>4841</v>
      </c>
      <c r="BB113" s="242">
        <v>0.35556371648916635</v>
      </c>
      <c r="BC113" s="244">
        <v>868</v>
      </c>
      <c r="BD113" s="255">
        <v>6.3753213367609252E-2</v>
      </c>
    </row>
    <row r="114" spans="1:56" ht="17.100000000000001" customHeight="1">
      <c r="A114" s="239" t="s">
        <v>451</v>
      </c>
      <c r="B114" s="240">
        <v>44930</v>
      </c>
      <c r="C114" s="241">
        <v>4011</v>
      </c>
      <c r="D114" s="242">
        <v>0.12769005475614414</v>
      </c>
      <c r="E114" s="243">
        <v>13637</v>
      </c>
      <c r="F114" s="242">
        <v>0.43413345218387878</v>
      </c>
      <c r="G114" s="241">
        <v>9616</v>
      </c>
      <c r="H114" s="242">
        <v>0.30612504775245131</v>
      </c>
      <c r="I114" s="241">
        <v>605</v>
      </c>
      <c r="J114" s="242">
        <v>1.9260155354641539E-2</v>
      </c>
      <c r="K114" s="241">
        <v>1669</v>
      </c>
      <c r="L114" s="242">
        <v>5.3132560804787982E-2</v>
      </c>
      <c r="M114" s="222"/>
      <c r="N114" s="223"/>
      <c r="O114" s="222"/>
      <c r="P114" s="223"/>
      <c r="Q114" s="222"/>
      <c r="R114" s="223"/>
      <c r="S114" s="222"/>
      <c r="T114" s="223"/>
      <c r="U114" s="241">
        <v>21</v>
      </c>
      <c r="V114" s="242">
        <v>6.6853431809499558E-4</v>
      </c>
      <c r="W114" s="244">
        <v>29559</v>
      </c>
      <c r="X114" s="242">
        <v>0.94100980516999877</v>
      </c>
      <c r="Y114" s="241">
        <v>1333</v>
      </c>
      <c r="Z114" s="245">
        <v>4.2436011715268049E-2</v>
      </c>
      <c r="AA114" s="246">
        <v>30892</v>
      </c>
      <c r="AC114" s="247">
        <v>520</v>
      </c>
      <c r="AD114" s="248">
        <v>1.6554183114733223E-2</v>
      </c>
      <c r="AF114" s="247"/>
      <c r="AG114" s="248">
        <v>0</v>
      </c>
      <c r="AI114" s="240">
        <v>31412</v>
      </c>
      <c r="AJ114" s="248">
        <v>0.69913198308479862</v>
      </c>
      <c r="AL114" s="249" t="s">
        <v>410</v>
      </c>
      <c r="AM114" s="244">
        <v>13637</v>
      </c>
      <c r="AN114" s="250">
        <v>0.43413345218387878</v>
      </c>
      <c r="AO114" s="251">
        <v>3</v>
      </c>
      <c r="AP114" s="251">
        <v>1</v>
      </c>
      <c r="AQ114" s="251">
        <v>2</v>
      </c>
      <c r="AR114" s="251">
        <v>6</v>
      </c>
      <c r="AS114" s="251">
        <v>4</v>
      </c>
      <c r="AT114" s="252"/>
      <c r="AU114" s="252"/>
      <c r="AV114" s="252"/>
      <c r="AW114" s="252"/>
      <c r="AX114" s="253">
        <v>7</v>
      </c>
      <c r="AY114" s="253">
        <v>5</v>
      </c>
      <c r="AZ114" s="254" t="s">
        <v>10</v>
      </c>
      <c r="BA114" s="244">
        <v>9616</v>
      </c>
      <c r="BB114" s="242">
        <v>0.30612504775245131</v>
      </c>
      <c r="BC114" s="244">
        <v>4021</v>
      </c>
      <c r="BD114" s="255">
        <v>0.12800840443142747</v>
      </c>
    </row>
    <row r="115" spans="1:56" ht="17.100000000000001" customHeight="1">
      <c r="A115" s="239" t="s">
        <v>331</v>
      </c>
      <c r="B115" s="240">
        <v>11490</v>
      </c>
      <c r="C115" s="241">
        <v>1796</v>
      </c>
      <c r="D115" s="242">
        <v>0.20116487455197132</v>
      </c>
      <c r="E115" s="243">
        <v>5177</v>
      </c>
      <c r="F115" s="242">
        <v>0.57986111111111116</v>
      </c>
      <c r="G115" s="222"/>
      <c r="H115" s="223"/>
      <c r="I115" s="222"/>
      <c r="J115" s="223"/>
      <c r="K115" s="222"/>
      <c r="L115" s="223"/>
      <c r="M115" s="222"/>
      <c r="N115" s="223"/>
      <c r="O115" s="241">
        <v>1618</v>
      </c>
      <c r="P115" s="242">
        <v>0.18122759856630824</v>
      </c>
      <c r="Q115" s="222"/>
      <c r="R115" s="223"/>
      <c r="S115" s="222"/>
      <c r="T115" s="223"/>
      <c r="U115" s="241">
        <v>17</v>
      </c>
      <c r="V115" s="242">
        <v>1.9041218637992831E-3</v>
      </c>
      <c r="W115" s="244">
        <v>8608</v>
      </c>
      <c r="X115" s="242">
        <v>0.96415770609318996</v>
      </c>
      <c r="Y115" s="241">
        <v>320</v>
      </c>
      <c r="Z115" s="245">
        <v>3.5842293906810034E-2</v>
      </c>
      <c r="AA115" s="246">
        <v>8928</v>
      </c>
      <c r="AC115" s="247"/>
      <c r="AD115" s="248">
        <v>0</v>
      </c>
      <c r="AF115" s="247"/>
      <c r="AG115" s="248">
        <v>0</v>
      </c>
      <c r="AI115" s="240">
        <v>8928</v>
      </c>
      <c r="AJ115" s="248">
        <v>0.77702349869451692</v>
      </c>
      <c r="AL115" s="249" t="s">
        <v>410</v>
      </c>
      <c r="AM115" s="244">
        <v>5177</v>
      </c>
      <c r="AN115" s="250">
        <v>0.57986111111111116</v>
      </c>
      <c r="AO115" s="251">
        <v>2</v>
      </c>
      <c r="AP115" s="251">
        <v>1</v>
      </c>
      <c r="AQ115" s="252"/>
      <c r="AR115" s="252"/>
      <c r="AS115" s="252"/>
      <c r="AT115" s="252"/>
      <c r="AU115" s="251">
        <v>3</v>
      </c>
      <c r="AV115" s="252"/>
      <c r="AW115" s="252"/>
      <c r="AX115" s="253">
        <v>5</v>
      </c>
      <c r="AY115" s="253">
        <v>4</v>
      </c>
      <c r="AZ115" s="254" t="s">
        <v>7</v>
      </c>
      <c r="BA115" s="244">
        <v>1796</v>
      </c>
      <c r="BB115" s="242">
        <v>0.20116487455197132</v>
      </c>
      <c r="BC115" s="244">
        <v>3381</v>
      </c>
      <c r="BD115" s="255">
        <v>0.37869623655913986</v>
      </c>
    </row>
    <row r="116" spans="1:56" ht="17.100000000000001" customHeight="1">
      <c r="A116" s="239" t="s">
        <v>332</v>
      </c>
      <c r="B116" s="240">
        <v>33436</v>
      </c>
      <c r="C116" s="241">
        <v>2489</v>
      </c>
      <c r="D116" s="242">
        <v>0.11099714591509098</v>
      </c>
      <c r="E116" s="243">
        <v>7082</v>
      </c>
      <c r="F116" s="242">
        <v>0.31582233321441311</v>
      </c>
      <c r="G116" s="241">
        <v>3978</v>
      </c>
      <c r="H116" s="242">
        <v>0.17739921512665002</v>
      </c>
      <c r="I116" s="260">
        <v>2415</v>
      </c>
      <c r="J116" s="242">
        <v>0.10769711023902961</v>
      </c>
      <c r="K116" s="241">
        <v>4985</v>
      </c>
      <c r="L116" s="242">
        <v>0.22230645736710666</v>
      </c>
      <c r="M116" s="222"/>
      <c r="N116" s="223"/>
      <c r="O116" s="222"/>
      <c r="P116" s="223"/>
      <c r="Q116" s="262"/>
      <c r="R116" s="223"/>
      <c r="S116" s="222"/>
      <c r="T116" s="223"/>
      <c r="U116" s="241">
        <v>164</v>
      </c>
      <c r="V116" s="242">
        <v>7.3135925793792363E-3</v>
      </c>
      <c r="W116" s="244">
        <v>21113</v>
      </c>
      <c r="X116" s="242">
        <v>0.94153585444166965</v>
      </c>
      <c r="Y116" s="241">
        <v>1311</v>
      </c>
      <c r="Z116" s="245">
        <v>5.8464145558330363E-2</v>
      </c>
      <c r="AA116" s="246">
        <v>22424</v>
      </c>
      <c r="AC116" s="247"/>
      <c r="AD116" s="248">
        <v>0</v>
      </c>
      <c r="AF116" s="247"/>
      <c r="AG116" s="248">
        <v>0</v>
      </c>
      <c r="AI116" s="264">
        <v>22424</v>
      </c>
      <c r="AJ116" s="248">
        <v>0.6706543844957531</v>
      </c>
      <c r="AL116" s="249" t="s">
        <v>410</v>
      </c>
      <c r="AM116" s="244">
        <v>7082</v>
      </c>
      <c r="AN116" s="250">
        <v>0.31582233321441311</v>
      </c>
      <c r="AO116" s="251">
        <v>4</v>
      </c>
      <c r="AP116" s="251">
        <v>1</v>
      </c>
      <c r="AQ116" s="251">
        <v>3</v>
      </c>
      <c r="AR116" s="251">
        <v>5</v>
      </c>
      <c r="AS116" s="251">
        <v>2</v>
      </c>
      <c r="AT116" s="252"/>
      <c r="AU116" s="252"/>
      <c r="AV116" s="252"/>
      <c r="AW116" s="252"/>
      <c r="AX116" s="253">
        <v>7</v>
      </c>
      <c r="AY116" s="253">
        <v>6</v>
      </c>
      <c r="AZ116" s="254" t="s">
        <v>411</v>
      </c>
      <c r="BA116" s="244">
        <v>4985</v>
      </c>
      <c r="BB116" s="242">
        <v>0.22230645736710666</v>
      </c>
      <c r="BC116" s="244">
        <v>2097</v>
      </c>
      <c r="BD116" s="255">
        <v>9.3515875847306446E-2</v>
      </c>
    </row>
    <row r="117" spans="1:56" ht="17.100000000000001" customHeight="1">
      <c r="A117" s="239" t="s">
        <v>452</v>
      </c>
      <c r="B117" s="240">
        <v>539260</v>
      </c>
      <c r="C117" s="241">
        <v>86621</v>
      </c>
      <c r="D117" s="242">
        <v>0.24861729394307297</v>
      </c>
      <c r="E117" s="243">
        <v>136076</v>
      </c>
      <c r="F117" s="242">
        <v>0.39056172164483899</v>
      </c>
      <c r="G117" s="222"/>
      <c r="H117" s="223"/>
      <c r="I117" s="241">
        <v>14506</v>
      </c>
      <c r="J117" s="276">
        <v>4.1634735987095703E-2</v>
      </c>
      <c r="K117" s="222"/>
      <c r="L117" s="223"/>
      <c r="M117" s="222"/>
      <c r="N117" s="223"/>
      <c r="O117" s="222"/>
      <c r="P117" s="274"/>
      <c r="Q117" s="241">
        <v>91758</v>
      </c>
      <c r="R117" s="276">
        <v>0.26336137492788692</v>
      </c>
      <c r="S117" s="222"/>
      <c r="T117" s="223"/>
      <c r="U117" s="241">
        <v>353</v>
      </c>
      <c r="V117" s="242">
        <v>1.0131712259371835E-3</v>
      </c>
      <c r="W117" s="244">
        <v>329314</v>
      </c>
      <c r="X117" s="242">
        <v>0.94518829772883173</v>
      </c>
      <c r="Y117" s="241">
        <v>19097</v>
      </c>
      <c r="Z117" s="245">
        <v>5.4811702271168244E-2</v>
      </c>
      <c r="AA117" s="246">
        <v>348411</v>
      </c>
      <c r="AC117" s="247"/>
      <c r="AD117" s="248">
        <v>0</v>
      </c>
      <c r="AF117" s="247"/>
      <c r="AG117" s="248">
        <v>0</v>
      </c>
      <c r="AI117" s="240">
        <v>348411</v>
      </c>
      <c r="AJ117" s="268">
        <v>0.64609093943552276</v>
      </c>
      <c r="AL117" s="249" t="s">
        <v>410</v>
      </c>
      <c r="AM117" s="244">
        <v>136076</v>
      </c>
      <c r="AN117" s="250">
        <v>0.39056172164483899</v>
      </c>
      <c r="AO117" s="251">
        <v>3</v>
      </c>
      <c r="AP117" s="251">
        <v>1</v>
      </c>
      <c r="AQ117" s="252"/>
      <c r="AR117" s="251">
        <v>5</v>
      </c>
      <c r="AS117" s="252"/>
      <c r="AT117" s="252"/>
      <c r="AU117" s="252"/>
      <c r="AV117" s="251">
        <v>2</v>
      </c>
      <c r="AW117" s="252"/>
      <c r="AX117" s="253">
        <v>6</v>
      </c>
      <c r="AY117" s="253">
        <v>4</v>
      </c>
      <c r="AZ117" s="254" t="s">
        <v>424</v>
      </c>
      <c r="BA117" s="244">
        <v>91758</v>
      </c>
      <c r="BB117" s="242">
        <v>0.26336137492788692</v>
      </c>
      <c r="BC117" s="244">
        <v>44318</v>
      </c>
      <c r="BD117" s="255">
        <v>0.12720034671695207</v>
      </c>
    </row>
    <row r="118" spans="1:56" ht="17.100000000000001" customHeight="1">
      <c r="A118" s="239" t="s">
        <v>334</v>
      </c>
      <c r="B118" s="240">
        <v>26237</v>
      </c>
      <c r="C118" s="241">
        <v>236</v>
      </c>
      <c r="D118" s="242">
        <v>1.2224179011706205E-2</v>
      </c>
      <c r="E118" s="243">
        <v>8442</v>
      </c>
      <c r="F118" s="242">
        <v>0.43727338651196518</v>
      </c>
      <c r="G118" s="222"/>
      <c r="H118" s="223"/>
      <c r="I118" s="271"/>
      <c r="J118" s="223"/>
      <c r="K118" s="222"/>
      <c r="L118" s="223"/>
      <c r="M118" s="222">
        <v>10247</v>
      </c>
      <c r="N118" s="277">
        <v>0.53076763700404017</v>
      </c>
      <c r="O118" s="222"/>
      <c r="P118" s="223"/>
      <c r="Q118" s="271"/>
      <c r="R118" s="223"/>
      <c r="S118" s="222"/>
      <c r="T118" s="223"/>
      <c r="U118" s="241">
        <v>1</v>
      </c>
      <c r="V118" s="242">
        <v>5.179736869367036E-5</v>
      </c>
      <c r="W118" s="244">
        <v>18926</v>
      </c>
      <c r="X118" s="242">
        <v>0.98031699989640531</v>
      </c>
      <c r="Y118" s="241">
        <v>380</v>
      </c>
      <c r="Z118" s="245">
        <v>1.9683000103594736E-2</v>
      </c>
      <c r="AA118" s="246">
        <v>19306</v>
      </c>
      <c r="AC118" s="247"/>
      <c r="AD118" s="248">
        <v>0</v>
      </c>
      <c r="AF118" s="247"/>
      <c r="AG118" s="248">
        <v>0</v>
      </c>
      <c r="AI118" s="273">
        <v>19306</v>
      </c>
      <c r="AJ118" s="248">
        <v>0.73583107824827532</v>
      </c>
      <c r="AL118" s="249" t="s">
        <v>412</v>
      </c>
      <c r="AM118" s="244">
        <v>10247</v>
      </c>
      <c r="AN118" s="250">
        <v>0.53076763700404017</v>
      </c>
      <c r="AO118" s="251">
        <v>4</v>
      </c>
      <c r="AP118" s="251">
        <v>2</v>
      </c>
      <c r="AQ118" s="252"/>
      <c r="AR118" s="252"/>
      <c r="AS118" s="252"/>
      <c r="AT118" s="251">
        <v>1</v>
      </c>
      <c r="AU118" s="252"/>
      <c r="AV118" s="252"/>
      <c r="AW118" s="252"/>
      <c r="AX118" s="253">
        <v>5</v>
      </c>
      <c r="AY118" s="253">
        <v>3</v>
      </c>
      <c r="AZ118" s="254" t="s">
        <v>410</v>
      </c>
      <c r="BA118" s="244">
        <v>8442</v>
      </c>
      <c r="BB118" s="242">
        <v>0.43727338651196518</v>
      </c>
      <c r="BC118" s="244">
        <v>1805</v>
      </c>
      <c r="BD118" s="255">
        <v>9.3494250492074993E-2</v>
      </c>
    </row>
    <row r="119" spans="1:56" ht="17.100000000000001" customHeight="1">
      <c r="A119" s="239" t="s">
        <v>335</v>
      </c>
      <c r="B119" s="240">
        <v>545335</v>
      </c>
      <c r="C119" s="241">
        <v>107761</v>
      </c>
      <c r="D119" s="242">
        <v>0.29240449999185963</v>
      </c>
      <c r="E119" s="243">
        <v>185612</v>
      </c>
      <c r="F119" s="242">
        <v>0.50364959542403143</v>
      </c>
      <c r="G119" s="241">
        <v>45800</v>
      </c>
      <c r="H119" s="242">
        <v>0.12427618618634916</v>
      </c>
      <c r="I119" s="241">
        <v>8113</v>
      </c>
      <c r="J119" s="242">
        <v>2.2014251059603727E-2</v>
      </c>
      <c r="K119" s="241">
        <v>5949</v>
      </c>
      <c r="L119" s="242">
        <v>1.6142336934991074E-2</v>
      </c>
      <c r="M119" s="222"/>
      <c r="N119" s="223"/>
      <c r="O119" s="222"/>
      <c r="P119" s="223"/>
      <c r="Q119" s="222"/>
      <c r="R119" s="223"/>
      <c r="S119" s="222"/>
      <c r="T119" s="223"/>
      <c r="U119" s="241">
        <v>426</v>
      </c>
      <c r="V119" s="242">
        <v>1.155931338763859E-3</v>
      </c>
      <c r="W119" s="244">
        <v>353661</v>
      </c>
      <c r="X119" s="242">
        <v>0.95964280093559884</v>
      </c>
      <c r="Y119" s="241">
        <v>14873</v>
      </c>
      <c r="Z119" s="245">
        <v>4.0357199064401113E-2</v>
      </c>
      <c r="AA119" s="246">
        <v>368534</v>
      </c>
      <c r="AC119" s="247"/>
      <c r="AD119" s="248">
        <v>0</v>
      </c>
      <c r="AF119" s="247"/>
      <c r="AG119" s="248">
        <v>0</v>
      </c>
      <c r="AI119" s="240">
        <v>368534</v>
      </c>
      <c r="AJ119" s="248">
        <v>0.67579377813637487</v>
      </c>
      <c r="AL119" s="249" t="s">
        <v>410</v>
      </c>
      <c r="AM119" s="244">
        <v>185612</v>
      </c>
      <c r="AN119" s="250">
        <v>0.50364959542403143</v>
      </c>
      <c r="AO119" s="251">
        <v>2</v>
      </c>
      <c r="AP119" s="251">
        <v>1</v>
      </c>
      <c r="AQ119" s="251">
        <v>3</v>
      </c>
      <c r="AR119" s="251">
        <v>5</v>
      </c>
      <c r="AS119" s="251">
        <v>6</v>
      </c>
      <c r="AT119" s="252"/>
      <c r="AU119" s="252"/>
      <c r="AV119" s="252"/>
      <c r="AW119" s="252"/>
      <c r="AX119" s="253">
        <v>7</v>
      </c>
      <c r="AY119" s="253">
        <v>4</v>
      </c>
      <c r="AZ119" s="254" t="s">
        <v>7</v>
      </c>
      <c r="BA119" s="244">
        <v>107761</v>
      </c>
      <c r="BB119" s="242">
        <v>0.29240449999185963</v>
      </c>
      <c r="BC119" s="244">
        <v>77851</v>
      </c>
      <c r="BD119" s="255">
        <v>0.21124509543217179</v>
      </c>
    </row>
    <row r="120" spans="1:56" ht="17.100000000000001" customHeight="1">
      <c r="A120" s="239" t="s">
        <v>336</v>
      </c>
      <c r="B120" s="240">
        <v>9283</v>
      </c>
      <c r="C120" s="241">
        <v>1214</v>
      </c>
      <c r="D120" s="242">
        <v>0.17161436245405712</v>
      </c>
      <c r="E120" s="243">
        <v>2487</v>
      </c>
      <c r="F120" s="242">
        <v>0.35156912637828669</v>
      </c>
      <c r="G120" s="222"/>
      <c r="H120" s="223"/>
      <c r="I120" s="222"/>
      <c r="J120" s="223"/>
      <c r="K120" s="241">
        <v>16</v>
      </c>
      <c r="L120" s="242">
        <v>2.2618037885213456E-3</v>
      </c>
      <c r="M120" s="222"/>
      <c r="N120" s="222"/>
      <c r="O120" s="241">
        <v>3051</v>
      </c>
      <c r="P120" s="242">
        <v>0.43129770992366412</v>
      </c>
      <c r="Q120" s="222"/>
      <c r="R120" s="223"/>
      <c r="S120" s="222"/>
      <c r="T120" s="223"/>
      <c r="U120" s="241">
        <v>5</v>
      </c>
      <c r="V120" s="242">
        <v>7.0681368391292058E-4</v>
      </c>
      <c r="W120" s="244">
        <v>6773</v>
      </c>
      <c r="X120" s="242">
        <v>0.95744981622844216</v>
      </c>
      <c r="Y120" s="241">
        <v>301</v>
      </c>
      <c r="Z120" s="245">
        <v>4.2550183771557816E-2</v>
      </c>
      <c r="AA120" s="246">
        <v>7074</v>
      </c>
      <c r="AC120" s="247"/>
      <c r="AD120" s="248">
        <v>0</v>
      </c>
      <c r="AF120" s="247"/>
      <c r="AG120" s="248">
        <v>0</v>
      </c>
      <c r="AI120" s="240">
        <v>7074</v>
      </c>
      <c r="AJ120" s="248">
        <v>0.76203813422385003</v>
      </c>
      <c r="AL120" s="249" t="s">
        <v>256</v>
      </c>
      <c r="AM120" s="244">
        <v>3051</v>
      </c>
      <c r="AN120" s="250">
        <v>0.43129770992366412</v>
      </c>
      <c r="AO120" s="251">
        <v>3</v>
      </c>
      <c r="AP120" s="251">
        <v>2</v>
      </c>
      <c r="AQ120" s="252"/>
      <c r="AR120" s="252"/>
      <c r="AS120" s="251">
        <v>5</v>
      </c>
      <c r="AT120" s="252"/>
      <c r="AU120" s="251">
        <v>1</v>
      </c>
      <c r="AV120" s="252"/>
      <c r="AW120" s="252"/>
      <c r="AX120" s="253">
        <v>6</v>
      </c>
      <c r="AY120" s="253">
        <v>4</v>
      </c>
      <c r="AZ120" s="254" t="s">
        <v>410</v>
      </c>
      <c r="BA120" s="244">
        <v>2487</v>
      </c>
      <c r="BB120" s="242">
        <v>0.35156912637828669</v>
      </c>
      <c r="BC120" s="244">
        <v>564</v>
      </c>
      <c r="BD120" s="255">
        <v>7.9728583545377429E-2</v>
      </c>
    </row>
    <row r="121" spans="1:56" ht="17.100000000000001" customHeight="1">
      <c r="A121" s="239" t="s">
        <v>337</v>
      </c>
      <c r="B121" s="240">
        <v>92383</v>
      </c>
      <c r="C121" s="241">
        <v>9683</v>
      </c>
      <c r="D121" s="242">
        <v>0.1631425538725928</v>
      </c>
      <c r="E121" s="243">
        <v>20988</v>
      </c>
      <c r="F121" s="242">
        <v>0.3536131282327768</v>
      </c>
      <c r="G121" s="222"/>
      <c r="H121" s="223"/>
      <c r="I121" s="241">
        <v>1492</v>
      </c>
      <c r="J121" s="242">
        <v>2.5137735245059221E-2</v>
      </c>
      <c r="K121" s="222"/>
      <c r="L121" s="223"/>
      <c r="M121" s="222"/>
      <c r="N121" s="223"/>
      <c r="O121" s="222"/>
      <c r="P121" s="223"/>
      <c r="Q121" s="241">
        <v>23942</v>
      </c>
      <c r="R121" s="242">
        <v>0.40338314828231092</v>
      </c>
      <c r="S121" s="222"/>
      <c r="T121" s="223"/>
      <c r="U121" s="241">
        <v>41</v>
      </c>
      <c r="V121" s="242">
        <v>6.9078226879854432E-4</v>
      </c>
      <c r="W121" s="244">
        <v>56146</v>
      </c>
      <c r="X121" s="242">
        <v>0.94596734790153825</v>
      </c>
      <c r="Y121" s="241">
        <v>3207</v>
      </c>
      <c r="Z121" s="245">
        <v>5.4032652098461746E-2</v>
      </c>
      <c r="AA121" s="246">
        <v>59353</v>
      </c>
      <c r="AC121" s="247"/>
      <c r="AD121" s="248">
        <v>0</v>
      </c>
      <c r="AF121" s="247"/>
      <c r="AG121" s="248">
        <v>0</v>
      </c>
      <c r="AI121" s="240">
        <v>59353</v>
      </c>
      <c r="AJ121" s="248">
        <v>0.64246668759403791</v>
      </c>
      <c r="AL121" s="249" t="s">
        <v>424</v>
      </c>
      <c r="AM121" s="244">
        <v>23942</v>
      </c>
      <c r="AN121" s="250">
        <v>0.40338314828231092</v>
      </c>
      <c r="AO121" s="251">
        <v>3</v>
      </c>
      <c r="AP121" s="251">
        <v>2</v>
      </c>
      <c r="AQ121" s="252"/>
      <c r="AR121" s="251">
        <v>5</v>
      </c>
      <c r="AS121" s="252"/>
      <c r="AT121" s="252"/>
      <c r="AU121" s="252"/>
      <c r="AV121" s="251">
        <v>1</v>
      </c>
      <c r="AW121" s="252"/>
      <c r="AX121" s="253">
        <v>6</v>
      </c>
      <c r="AY121" s="253">
        <v>4</v>
      </c>
      <c r="AZ121" s="254" t="s">
        <v>410</v>
      </c>
      <c r="BA121" s="244">
        <v>20988</v>
      </c>
      <c r="BB121" s="242">
        <v>0.3536131282327768</v>
      </c>
      <c r="BC121" s="244">
        <v>2954</v>
      </c>
      <c r="BD121" s="255">
        <v>4.9770020049534125E-2</v>
      </c>
    </row>
    <row r="122" spans="1:56" ht="17.100000000000001" customHeight="1">
      <c r="A122" s="239" t="s">
        <v>338</v>
      </c>
      <c r="B122" s="240">
        <v>324127</v>
      </c>
      <c r="C122" s="241">
        <v>28449</v>
      </c>
      <c r="D122" s="242">
        <v>0.14104191248649023</v>
      </c>
      <c r="E122" s="243">
        <v>89069</v>
      </c>
      <c r="F122" s="242">
        <v>0.44157833678720515</v>
      </c>
      <c r="G122" s="241">
        <v>52724</v>
      </c>
      <c r="H122" s="242">
        <v>0.26139034039641856</v>
      </c>
      <c r="I122" s="222"/>
      <c r="J122" s="223"/>
      <c r="K122" s="222"/>
      <c r="L122" s="223"/>
      <c r="M122" s="222"/>
      <c r="N122" s="223"/>
      <c r="O122" s="222"/>
      <c r="P122" s="223"/>
      <c r="Q122" s="222"/>
      <c r="R122" s="223"/>
      <c r="S122" s="241">
        <v>20164</v>
      </c>
      <c r="T122" s="242">
        <v>9.9967279109198531E-2</v>
      </c>
      <c r="U122" s="241">
        <v>395</v>
      </c>
      <c r="V122" s="242">
        <v>1.9582957373603166E-3</v>
      </c>
      <c r="W122" s="244">
        <v>190801</v>
      </c>
      <c r="X122" s="242">
        <v>0.94593616451667273</v>
      </c>
      <c r="Y122" s="241">
        <v>10905</v>
      </c>
      <c r="Z122" s="245">
        <v>5.4063835483327216E-2</v>
      </c>
      <c r="AA122" s="246">
        <v>201706</v>
      </c>
      <c r="AC122" s="247"/>
      <c r="AD122" s="248">
        <v>0</v>
      </c>
      <c r="AF122" s="247"/>
      <c r="AG122" s="248">
        <v>0</v>
      </c>
      <c r="AI122" s="240">
        <v>201706</v>
      </c>
      <c r="AJ122" s="248">
        <v>0.62230545434351348</v>
      </c>
      <c r="AL122" s="249" t="s">
        <v>410</v>
      </c>
      <c r="AM122" s="244">
        <v>89069</v>
      </c>
      <c r="AN122" s="250">
        <v>0.44157833678720515</v>
      </c>
      <c r="AO122" s="251">
        <v>3</v>
      </c>
      <c r="AP122" s="251">
        <v>1</v>
      </c>
      <c r="AQ122" s="251">
        <v>2</v>
      </c>
      <c r="AR122" s="252"/>
      <c r="AS122" s="252"/>
      <c r="AT122" s="252"/>
      <c r="AU122" s="252"/>
      <c r="AV122" s="252"/>
      <c r="AW122" s="251">
        <v>4</v>
      </c>
      <c r="AX122" s="253">
        <v>6</v>
      </c>
      <c r="AY122" s="253">
        <v>5</v>
      </c>
      <c r="AZ122" s="254" t="s">
        <v>10</v>
      </c>
      <c r="BA122" s="244">
        <v>52724</v>
      </c>
      <c r="BB122" s="256">
        <v>0.26139034039641856</v>
      </c>
      <c r="BC122" s="244">
        <v>36345</v>
      </c>
      <c r="BD122" s="255">
        <v>0.18018799639078659</v>
      </c>
    </row>
    <row r="123" spans="1:56" ht="17.100000000000001" customHeight="1">
      <c r="A123" s="239" t="s">
        <v>339</v>
      </c>
      <c r="B123" s="240">
        <v>44166</v>
      </c>
      <c r="C123" s="241">
        <v>10955</v>
      </c>
      <c r="D123" s="242">
        <v>0.36223258274642067</v>
      </c>
      <c r="E123" s="243">
        <v>10732</v>
      </c>
      <c r="F123" s="242">
        <v>0.35485897563072444</v>
      </c>
      <c r="G123" s="241">
        <v>1866</v>
      </c>
      <c r="H123" s="242">
        <v>6.1700228151969051E-2</v>
      </c>
      <c r="I123" s="241">
        <v>5286</v>
      </c>
      <c r="J123" s="242">
        <v>0.17478424759448469</v>
      </c>
      <c r="K123" s="241">
        <v>306</v>
      </c>
      <c r="L123" s="242">
        <v>1.0118043844856661E-2</v>
      </c>
      <c r="M123" s="222"/>
      <c r="N123" s="223"/>
      <c r="O123" s="222"/>
      <c r="P123" s="223"/>
      <c r="Q123" s="222"/>
      <c r="R123" s="223"/>
      <c r="S123" s="222"/>
      <c r="T123" s="223"/>
      <c r="U123" s="241">
        <v>51</v>
      </c>
      <c r="V123" s="242">
        <v>1.6863406408094434E-3</v>
      </c>
      <c r="W123" s="244">
        <v>29196</v>
      </c>
      <c r="X123" s="242">
        <v>0.96538041860926493</v>
      </c>
      <c r="Y123" s="260">
        <v>1047</v>
      </c>
      <c r="Z123" s="245">
        <v>3.4619581390735045E-2</v>
      </c>
      <c r="AA123" s="263">
        <v>30243</v>
      </c>
      <c r="AC123" s="247"/>
      <c r="AD123" s="248">
        <v>0</v>
      </c>
      <c r="AF123" s="247"/>
      <c r="AG123" s="248">
        <v>0</v>
      </c>
      <c r="AI123" s="264">
        <v>30243</v>
      </c>
      <c r="AJ123" s="248">
        <v>0.684757505773672</v>
      </c>
      <c r="AL123" s="249" t="s">
        <v>7</v>
      </c>
      <c r="AM123" s="244">
        <v>10955</v>
      </c>
      <c r="AN123" s="250">
        <v>0.36223258274642067</v>
      </c>
      <c r="AO123" s="251">
        <v>1</v>
      </c>
      <c r="AP123" s="251">
        <v>2</v>
      </c>
      <c r="AQ123" s="251">
        <v>4</v>
      </c>
      <c r="AR123" s="251">
        <v>3</v>
      </c>
      <c r="AS123" s="251">
        <v>6</v>
      </c>
      <c r="AT123" s="252"/>
      <c r="AU123" s="252"/>
      <c r="AV123" s="252"/>
      <c r="AW123" s="252"/>
      <c r="AX123" s="253">
        <v>7</v>
      </c>
      <c r="AY123" s="253">
        <v>5</v>
      </c>
      <c r="AZ123" s="254" t="s">
        <v>410</v>
      </c>
      <c r="BA123" s="244">
        <v>10732</v>
      </c>
      <c r="BB123" s="242">
        <v>0.35485897563072444</v>
      </c>
      <c r="BC123" s="244">
        <v>223</v>
      </c>
      <c r="BD123" s="255">
        <v>7.3736071156962346E-3</v>
      </c>
    </row>
    <row r="124" spans="1:56" ht="17.100000000000001" customHeight="1">
      <c r="A124" s="239" t="s">
        <v>453</v>
      </c>
      <c r="B124" s="240">
        <v>27924</v>
      </c>
      <c r="C124" s="241">
        <v>3441</v>
      </c>
      <c r="D124" s="242">
        <v>0.16292613636363637</v>
      </c>
      <c r="E124" s="243">
        <v>7486</v>
      </c>
      <c r="F124" s="242">
        <v>0.35445075757575756</v>
      </c>
      <c r="G124" s="222"/>
      <c r="H124" s="223"/>
      <c r="I124" s="222"/>
      <c r="J124" s="223"/>
      <c r="K124" s="241">
        <v>194</v>
      </c>
      <c r="L124" s="242">
        <v>9.1856060606060608E-3</v>
      </c>
      <c r="M124" s="222"/>
      <c r="N124" s="223"/>
      <c r="O124" s="241">
        <v>8910</v>
      </c>
      <c r="P124" s="242">
        <v>0.421875</v>
      </c>
      <c r="Q124" s="222"/>
      <c r="R124" s="223"/>
      <c r="S124" s="222"/>
      <c r="T124" s="223"/>
      <c r="U124" s="241">
        <v>6</v>
      </c>
      <c r="V124" s="242">
        <v>2.8409090909090908E-4</v>
      </c>
      <c r="W124" s="244">
        <v>20037</v>
      </c>
      <c r="X124" s="245">
        <v>0.94872159090909092</v>
      </c>
      <c r="Y124" s="241">
        <v>1083</v>
      </c>
      <c r="Z124" s="266">
        <v>5.127840909090909E-2</v>
      </c>
      <c r="AA124" s="246">
        <v>21120</v>
      </c>
      <c r="AC124" s="247"/>
      <c r="AD124" s="248">
        <v>0</v>
      </c>
      <c r="AF124" s="247"/>
      <c r="AG124" s="248">
        <v>0</v>
      </c>
      <c r="AI124" s="240">
        <v>21120</v>
      </c>
      <c r="AJ124" s="268">
        <v>0.75633863343360552</v>
      </c>
      <c r="AL124" s="249" t="s">
        <v>256</v>
      </c>
      <c r="AM124" s="244">
        <v>8910</v>
      </c>
      <c r="AN124" s="250">
        <v>0.421875</v>
      </c>
      <c r="AO124" s="251">
        <v>3</v>
      </c>
      <c r="AP124" s="251">
        <v>2</v>
      </c>
      <c r="AQ124" s="252"/>
      <c r="AR124" s="252"/>
      <c r="AS124" s="251">
        <v>5</v>
      </c>
      <c r="AT124" s="252"/>
      <c r="AU124" s="251">
        <v>1</v>
      </c>
      <c r="AV124" s="252"/>
      <c r="AW124" s="252"/>
      <c r="AX124" s="253">
        <v>6</v>
      </c>
      <c r="AY124" s="253">
        <v>4</v>
      </c>
      <c r="AZ124" s="254" t="s">
        <v>410</v>
      </c>
      <c r="BA124" s="244">
        <v>7486</v>
      </c>
      <c r="BB124" s="242">
        <v>0.35445075757575756</v>
      </c>
      <c r="BC124" s="244">
        <v>1424</v>
      </c>
      <c r="BD124" s="255">
        <v>6.7424242424242442E-2</v>
      </c>
    </row>
    <row r="125" spans="1:56" ht="17.100000000000001" customHeight="1">
      <c r="A125" s="239" t="s">
        <v>341</v>
      </c>
      <c r="B125" s="240">
        <v>27617</v>
      </c>
      <c r="C125" s="241">
        <v>3662</v>
      </c>
      <c r="D125" s="242">
        <v>0.1809377933692376</v>
      </c>
      <c r="E125" s="243">
        <v>7843</v>
      </c>
      <c r="F125" s="242">
        <v>0.38751914620287564</v>
      </c>
      <c r="G125" s="241">
        <v>394</v>
      </c>
      <c r="H125" s="242">
        <v>1.9467364988388754E-2</v>
      </c>
      <c r="I125" s="241">
        <v>446</v>
      </c>
      <c r="J125" s="242">
        <v>2.2036661890409606E-2</v>
      </c>
      <c r="K125" s="241">
        <v>6892</v>
      </c>
      <c r="L125" s="242">
        <v>0.34053065862937892</v>
      </c>
      <c r="M125" s="222"/>
      <c r="N125" s="223"/>
      <c r="O125" s="222"/>
      <c r="P125" s="223"/>
      <c r="Q125" s="222"/>
      <c r="R125" s="223"/>
      <c r="S125" s="222"/>
      <c r="T125" s="223"/>
      <c r="U125" s="241">
        <v>14</v>
      </c>
      <c r="V125" s="242">
        <v>6.9173378131330598E-4</v>
      </c>
      <c r="W125" s="244">
        <v>19251</v>
      </c>
      <c r="X125" s="242">
        <v>0.95118335886160388</v>
      </c>
      <c r="Y125" s="269">
        <v>988</v>
      </c>
      <c r="Z125" s="245">
        <v>4.8816641138396163E-2</v>
      </c>
      <c r="AA125" s="272">
        <v>20239</v>
      </c>
      <c r="AC125" s="247"/>
      <c r="AD125" s="248">
        <v>0</v>
      </c>
      <c r="AF125" s="247"/>
      <c r="AG125" s="248">
        <v>0</v>
      </c>
      <c r="AI125" s="273">
        <v>20239</v>
      </c>
      <c r="AJ125" s="248">
        <v>0.73284571097512397</v>
      </c>
      <c r="AL125" s="249" t="s">
        <v>410</v>
      </c>
      <c r="AM125" s="244">
        <v>7843</v>
      </c>
      <c r="AN125" s="250">
        <v>0.38751914620287564</v>
      </c>
      <c r="AO125" s="251">
        <v>3</v>
      </c>
      <c r="AP125" s="251">
        <v>1</v>
      </c>
      <c r="AQ125" s="251">
        <v>6</v>
      </c>
      <c r="AR125" s="251">
        <v>5</v>
      </c>
      <c r="AS125" s="251">
        <v>2</v>
      </c>
      <c r="AT125" s="252"/>
      <c r="AU125" s="252"/>
      <c r="AV125" s="252"/>
      <c r="AW125" s="252"/>
      <c r="AX125" s="253">
        <v>7</v>
      </c>
      <c r="AY125" s="253">
        <v>4</v>
      </c>
      <c r="AZ125" s="254" t="s">
        <v>411</v>
      </c>
      <c r="BA125" s="244">
        <v>6892</v>
      </c>
      <c r="BB125" s="242">
        <v>0.34053065862937892</v>
      </c>
      <c r="BC125" s="244">
        <v>951</v>
      </c>
      <c r="BD125" s="255">
        <v>4.6988487573496718E-2</v>
      </c>
    </row>
    <row r="126" spans="1:56" ht="17.100000000000001" customHeight="1">
      <c r="A126" s="239" t="s">
        <v>342</v>
      </c>
      <c r="B126" s="240">
        <v>36091</v>
      </c>
      <c r="C126" s="241">
        <v>3078</v>
      </c>
      <c r="D126" s="242">
        <v>0.12107147071549385</v>
      </c>
      <c r="E126" s="243">
        <v>12377</v>
      </c>
      <c r="F126" s="242">
        <v>0.48684262282185425</v>
      </c>
      <c r="G126" s="222"/>
      <c r="H126" s="223"/>
      <c r="I126" s="222"/>
      <c r="J126" s="223"/>
      <c r="K126" s="241">
        <v>1321</v>
      </c>
      <c r="L126" s="242">
        <v>5.1960822876922469E-2</v>
      </c>
      <c r="M126" s="222"/>
      <c r="N126" s="223"/>
      <c r="O126" s="241">
        <v>7528</v>
      </c>
      <c r="P126" s="242">
        <v>0.29610982181489204</v>
      </c>
      <c r="Q126" s="222"/>
      <c r="R126" s="223"/>
      <c r="S126" s="222"/>
      <c r="T126" s="223"/>
      <c r="U126" s="241">
        <v>18</v>
      </c>
      <c r="V126" s="242">
        <v>7.0802029658183533E-4</v>
      </c>
      <c r="W126" s="244">
        <v>24322</v>
      </c>
      <c r="X126" s="242">
        <v>0.95669275852574442</v>
      </c>
      <c r="Y126" s="241">
        <v>1101</v>
      </c>
      <c r="Z126" s="245">
        <v>4.3307241474255596E-2</v>
      </c>
      <c r="AA126" s="246">
        <v>25423</v>
      </c>
      <c r="AC126" s="247"/>
      <c r="AD126" s="248">
        <v>0</v>
      </c>
      <c r="AF126" s="247"/>
      <c r="AG126" s="248">
        <v>0</v>
      </c>
      <c r="AI126" s="240">
        <v>25423</v>
      </c>
      <c r="AJ126" s="248">
        <v>0.70441384278629016</v>
      </c>
      <c r="AL126" s="249" t="s">
        <v>410</v>
      </c>
      <c r="AM126" s="244">
        <v>12377</v>
      </c>
      <c r="AN126" s="250">
        <v>0.48684262282185425</v>
      </c>
      <c r="AO126" s="251">
        <v>3</v>
      </c>
      <c r="AP126" s="251">
        <v>1</v>
      </c>
      <c r="AQ126" s="252"/>
      <c r="AR126" s="252"/>
      <c r="AS126" s="251">
        <v>4</v>
      </c>
      <c r="AT126" s="252"/>
      <c r="AU126" s="251">
        <v>2</v>
      </c>
      <c r="AV126" s="252"/>
      <c r="AW126" s="252"/>
      <c r="AX126" s="253">
        <v>6</v>
      </c>
      <c r="AY126" s="253">
        <v>5</v>
      </c>
      <c r="AZ126" s="254" t="s">
        <v>256</v>
      </c>
      <c r="BA126" s="244">
        <v>7528</v>
      </c>
      <c r="BB126" s="242">
        <v>0.29610982181489204</v>
      </c>
      <c r="BC126" s="244">
        <v>4849</v>
      </c>
      <c r="BD126" s="255">
        <v>0.19073280100696222</v>
      </c>
    </row>
    <row r="127" spans="1:56" ht="17.100000000000001" customHeight="1">
      <c r="A127" s="239" t="s">
        <v>343</v>
      </c>
      <c r="B127" s="240">
        <v>52260</v>
      </c>
      <c r="C127" s="241">
        <v>16228</v>
      </c>
      <c r="D127" s="242">
        <v>0.40947742928515557</v>
      </c>
      <c r="E127" s="243">
        <v>19146</v>
      </c>
      <c r="F127" s="242">
        <v>0.48310665892861648</v>
      </c>
      <c r="G127" s="241">
        <v>1832</v>
      </c>
      <c r="H127" s="242">
        <v>4.6226438898841815E-2</v>
      </c>
      <c r="I127" s="241">
        <v>551</v>
      </c>
      <c r="J127" s="242">
        <v>1.3903257550907119E-2</v>
      </c>
      <c r="K127" s="241">
        <v>66</v>
      </c>
      <c r="L127" s="242">
        <v>1.6653629734298908E-3</v>
      </c>
      <c r="M127" s="222"/>
      <c r="N127" s="223"/>
      <c r="O127" s="222"/>
      <c r="P127" s="223"/>
      <c r="Q127" s="222"/>
      <c r="R127" s="223"/>
      <c r="S127" s="222"/>
      <c r="T127" s="223"/>
      <c r="U127" s="241">
        <v>24</v>
      </c>
      <c r="V127" s="242">
        <v>6.0558653579268753E-4</v>
      </c>
      <c r="W127" s="244">
        <v>37847</v>
      </c>
      <c r="X127" s="242">
        <v>0.95498473417274354</v>
      </c>
      <c r="Y127" s="241">
        <v>1784</v>
      </c>
      <c r="Z127" s="245">
        <v>4.5015265827256443E-2</v>
      </c>
      <c r="AA127" s="246">
        <v>39631</v>
      </c>
      <c r="AC127" s="247"/>
      <c r="AD127" s="248">
        <v>0</v>
      </c>
      <c r="AF127" s="247"/>
      <c r="AG127" s="248">
        <v>0</v>
      </c>
      <c r="AI127" s="240">
        <v>39631</v>
      </c>
      <c r="AJ127" s="248">
        <v>0.75834290088021428</v>
      </c>
      <c r="AL127" s="249" t="s">
        <v>410</v>
      </c>
      <c r="AM127" s="244">
        <v>19146</v>
      </c>
      <c r="AN127" s="250">
        <v>0.48310665892861648</v>
      </c>
      <c r="AO127" s="251">
        <v>2</v>
      </c>
      <c r="AP127" s="251">
        <v>1</v>
      </c>
      <c r="AQ127" s="251">
        <v>3</v>
      </c>
      <c r="AR127" s="251">
        <v>5</v>
      </c>
      <c r="AS127" s="251">
        <v>6</v>
      </c>
      <c r="AT127" s="252"/>
      <c r="AU127" s="252"/>
      <c r="AV127" s="252"/>
      <c r="AW127" s="252"/>
      <c r="AX127" s="253">
        <v>7</v>
      </c>
      <c r="AY127" s="253">
        <v>4</v>
      </c>
      <c r="AZ127" s="254" t="s">
        <v>7</v>
      </c>
      <c r="BA127" s="244">
        <v>16228</v>
      </c>
      <c r="BB127" s="242">
        <v>0.40947742928515557</v>
      </c>
      <c r="BC127" s="244">
        <v>2918</v>
      </c>
      <c r="BD127" s="255">
        <v>7.3629229643460914E-2</v>
      </c>
    </row>
    <row r="128" spans="1:56" ht="17.100000000000001" customHeight="1">
      <c r="A128" s="239" t="s">
        <v>454</v>
      </c>
      <c r="B128" s="240">
        <v>34357</v>
      </c>
      <c r="C128" s="241">
        <v>2743</v>
      </c>
      <c r="D128" s="242">
        <v>0.11006339780113955</v>
      </c>
      <c r="E128" s="243">
        <v>5814</v>
      </c>
      <c r="F128" s="242">
        <v>0.23328785811732605</v>
      </c>
      <c r="G128" s="241">
        <v>6829</v>
      </c>
      <c r="H128" s="242">
        <v>0.27401492657090121</v>
      </c>
      <c r="I128" s="241">
        <v>8443</v>
      </c>
      <c r="J128" s="242">
        <v>0.33877698419067492</v>
      </c>
      <c r="K128" s="241">
        <v>190</v>
      </c>
      <c r="L128" s="242">
        <v>7.6237862129845116E-3</v>
      </c>
      <c r="M128" s="222"/>
      <c r="N128" s="223"/>
      <c r="O128" s="222"/>
      <c r="P128" s="223"/>
      <c r="Q128" s="222"/>
      <c r="R128" s="223"/>
      <c r="S128" s="222"/>
      <c r="T128" s="223"/>
      <c r="U128" s="241">
        <v>21</v>
      </c>
      <c r="V128" s="242">
        <v>8.4262900248776185E-4</v>
      </c>
      <c r="W128" s="244">
        <v>24040</v>
      </c>
      <c r="X128" s="242">
        <v>0.96460958189551405</v>
      </c>
      <c r="Y128" s="241">
        <v>882</v>
      </c>
      <c r="Z128" s="245">
        <v>3.5390418104485996E-2</v>
      </c>
      <c r="AA128" s="246">
        <v>24922</v>
      </c>
      <c r="AC128" s="247"/>
      <c r="AD128" s="248">
        <v>0</v>
      </c>
      <c r="AF128" s="247"/>
      <c r="AG128" s="248">
        <v>0</v>
      </c>
      <c r="AI128" s="240">
        <v>24922</v>
      </c>
      <c r="AJ128" s="248">
        <v>0.72538347352795651</v>
      </c>
      <c r="AL128" s="249" t="s">
        <v>11</v>
      </c>
      <c r="AM128" s="244">
        <v>8443</v>
      </c>
      <c r="AN128" s="250">
        <v>0.33877698419067492</v>
      </c>
      <c r="AO128" s="251">
        <v>4</v>
      </c>
      <c r="AP128" s="251">
        <v>3</v>
      </c>
      <c r="AQ128" s="251">
        <v>2</v>
      </c>
      <c r="AR128" s="251">
        <v>1</v>
      </c>
      <c r="AS128" s="251">
        <v>6</v>
      </c>
      <c r="AT128" s="252"/>
      <c r="AU128" s="252"/>
      <c r="AV128" s="252"/>
      <c r="AW128" s="252"/>
      <c r="AX128" s="253">
        <v>7</v>
      </c>
      <c r="AY128" s="253">
        <v>5</v>
      </c>
      <c r="AZ128" s="254" t="s">
        <v>10</v>
      </c>
      <c r="BA128" s="244">
        <v>6829</v>
      </c>
      <c r="BB128" s="242">
        <v>0.27401492657090121</v>
      </c>
      <c r="BC128" s="244">
        <v>1614</v>
      </c>
      <c r="BD128" s="255">
        <v>6.4762057619773716E-2</v>
      </c>
    </row>
    <row r="129" spans="1:56" ht="17.100000000000001" customHeight="1">
      <c r="A129" s="239" t="s">
        <v>345</v>
      </c>
      <c r="B129" s="240">
        <v>3142</v>
      </c>
      <c r="C129" s="241">
        <v>187</v>
      </c>
      <c r="D129" s="242">
        <v>7.2989851678376266E-2</v>
      </c>
      <c r="E129" s="243">
        <v>1172</v>
      </c>
      <c r="F129" s="242">
        <v>0.45745511319281812</v>
      </c>
      <c r="G129" s="222"/>
      <c r="H129" s="223"/>
      <c r="I129" s="222"/>
      <c r="J129" s="223"/>
      <c r="K129" s="241">
        <v>4</v>
      </c>
      <c r="L129" s="242">
        <v>1.56128024980484E-3</v>
      </c>
      <c r="M129" s="222"/>
      <c r="N129" s="223"/>
      <c r="O129" s="241">
        <v>1133</v>
      </c>
      <c r="P129" s="242">
        <v>0.44223263075722091</v>
      </c>
      <c r="Q129" s="222"/>
      <c r="R129" s="223"/>
      <c r="S129" s="222"/>
      <c r="T129" s="223"/>
      <c r="U129" s="241">
        <v>1</v>
      </c>
      <c r="V129" s="242">
        <v>3.9032006245120999E-4</v>
      </c>
      <c r="W129" s="244">
        <v>2497</v>
      </c>
      <c r="X129" s="242">
        <v>0.97462919594067132</v>
      </c>
      <c r="Y129" s="241">
        <v>65</v>
      </c>
      <c r="Z129" s="245">
        <v>2.537080405932865E-2</v>
      </c>
      <c r="AA129" s="246">
        <v>2562</v>
      </c>
      <c r="AC129" s="247"/>
      <c r="AD129" s="248">
        <v>0</v>
      </c>
      <c r="AF129" s="247"/>
      <c r="AG129" s="248">
        <v>0</v>
      </c>
      <c r="AI129" s="240">
        <v>2562</v>
      </c>
      <c r="AJ129" s="248">
        <v>0.81540420114576706</v>
      </c>
      <c r="AL129" s="249" t="s">
        <v>410</v>
      </c>
      <c r="AM129" s="244">
        <v>1172</v>
      </c>
      <c r="AN129" s="250">
        <v>0.45745511319281812</v>
      </c>
      <c r="AO129" s="251">
        <v>3</v>
      </c>
      <c r="AP129" s="251">
        <v>1</v>
      </c>
      <c r="AQ129" s="252"/>
      <c r="AR129" s="252"/>
      <c r="AS129" s="251">
        <v>5</v>
      </c>
      <c r="AT129" s="252"/>
      <c r="AU129" s="251">
        <v>2</v>
      </c>
      <c r="AV129" s="252"/>
      <c r="AW129" s="252"/>
      <c r="AX129" s="253">
        <v>6</v>
      </c>
      <c r="AY129" s="253">
        <v>4</v>
      </c>
      <c r="AZ129" s="254" t="s">
        <v>256</v>
      </c>
      <c r="BA129" s="244">
        <v>1133</v>
      </c>
      <c r="BB129" s="242">
        <v>0.44223263075722091</v>
      </c>
      <c r="BC129" s="244">
        <v>39</v>
      </c>
      <c r="BD129" s="255">
        <v>1.5222482435597207E-2</v>
      </c>
    </row>
    <row r="130" spans="1:56" ht="17.100000000000001" customHeight="1">
      <c r="A130" s="239" t="s">
        <v>455</v>
      </c>
      <c r="B130" s="240">
        <v>10084</v>
      </c>
      <c r="C130" s="241">
        <v>3743</v>
      </c>
      <c r="D130" s="242">
        <v>0.51217843459222767</v>
      </c>
      <c r="E130" s="243">
        <v>2976</v>
      </c>
      <c r="F130" s="242">
        <v>0.40722495894909688</v>
      </c>
      <c r="G130" s="241">
        <v>121</v>
      </c>
      <c r="H130" s="242">
        <v>1.655719759168035E-2</v>
      </c>
      <c r="I130" s="241">
        <v>223</v>
      </c>
      <c r="J130" s="242">
        <v>3.0514504652435687E-2</v>
      </c>
      <c r="K130" s="222"/>
      <c r="L130" s="223"/>
      <c r="M130" s="222"/>
      <c r="N130" s="223"/>
      <c r="O130" s="222"/>
      <c r="P130" s="223"/>
      <c r="Q130" s="222"/>
      <c r="R130" s="223"/>
      <c r="S130" s="222"/>
      <c r="T130" s="223"/>
      <c r="U130" s="241">
        <v>1</v>
      </c>
      <c r="V130" s="242">
        <v>1.3683634373289546E-4</v>
      </c>
      <c r="W130" s="244">
        <v>7064</v>
      </c>
      <c r="X130" s="242">
        <v>0.96661193212917351</v>
      </c>
      <c r="Y130" s="241">
        <v>244</v>
      </c>
      <c r="Z130" s="245">
        <v>3.3388067870826495E-2</v>
      </c>
      <c r="AA130" s="246">
        <v>7308</v>
      </c>
      <c r="AC130" s="247"/>
      <c r="AD130" s="248">
        <v>0</v>
      </c>
      <c r="AF130" s="247"/>
      <c r="AG130" s="248">
        <v>0</v>
      </c>
      <c r="AI130" s="240">
        <v>7308</v>
      </c>
      <c r="AJ130" s="248">
        <v>0.72471241570805234</v>
      </c>
      <c r="AL130" s="249" t="s">
        <v>7</v>
      </c>
      <c r="AM130" s="244">
        <v>3743</v>
      </c>
      <c r="AN130" s="250">
        <v>0.51217843459222767</v>
      </c>
      <c r="AO130" s="251">
        <v>1</v>
      </c>
      <c r="AP130" s="251">
        <v>2</v>
      </c>
      <c r="AQ130" s="251">
        <v>5</v>
      </c>
      <c r="AR130" s="251">
        <v>4</v>
      </c>
      <c r="AS130" s="252"/>
      <c r="AT130" s="252"/>
      <c r="AU130" s="252"/>
      <c r="AV130" s="252"/>
      <c r="AW130" s="252"/>
      <c r="AX130" s="253">
        <v>6</v>
      </c>
      <c r="AY130" s="253">
        <v>3</v>
      </c>
      <c r="AZ130" s="254" t="s">
        <v>410</v>
      </c>
      <c r="BA130" s="244">
        <v>2976</v>
      </c>
      <c r="BB130" s="242">
        <v>0.40722495894909688</v>
      </c>
      <c r="BC130" s="244">
        <v>767</v>
      </c>
      <c r="BD130" s="255">
        <v>0.10495347564313079</v>
      </c>
    </row>
    <row r="131" spans="1:56" ht="17.100000000000001" customHeight="1">
      <c r="A131" s="239" t="s">
        <v>347</v>
      </c>
      <c r="B131" s="240">
        <v>100854</v>
      </c>
      <c r="C131" s="241">
        <v>24908</v>
      </c>
      <c r="D131" s="242">
        <v>0.36249326910482732</v>
      </c>
      <c r="E131" s="243">
        <v>34054</v>
      </c>
      <c r="F131" s="242">
        <v>0.49559763072489921</v>
      </c>
      <c r="G131" s="222"/>
      <c r="H131" s="223"/>
      <c r="I131" s="222"/>
      <c r="J131" s="223"/>
      <c r="K131" s="241">
        <v>1838</v>
      </c>
      <c r="L131" s="242">
        <v>2.6748941248380946E-2</v>
      </c>
      <c r="M131" s="222"/>
      <c r="N131" s="223"/>
      <c r="O131" s="241">
        <v>5157</v>
      </c>
      <c r="P131" s="242">
        <v>7.5051300336180932E-2</v>
      </c>
      <c r="Q131" s="222"/>
      <c r="R131" s="223"/>
      <c r="S131" s="222"/>
      <c r="T131" s="223"/>
      <c r="U131" s="241">
        <v>68</v>
      </c>
      <c r="V131" s="242">
        <v>9.8962350646893604E-4</v>
      </c>
      <c r="W131" s="244">
        <v>66025</v>
      </c>
      <c r="X131" s="242">
        <v>0.96088076492075736</v>
      </c>
      <c r="Y131" s="241">
        <v>2688</v>
      </c>
      <c r="Z131" s="245">
        <v>3.9119235079242649E-2</v>
      </c>
      <c r="AA131" s="246">
        <v>68713</v>
      </c>
      <c r="AC131" s="247"/>
      <c r="AD131" s="248">
        <v>0</v>
      </c>
      <c r="AF131" s="247"/>
      <c r="AG131" s="248">
        <v>0</v>
      </c>
      <c r="AI131" s="240">
        <v>68713</v>
      </c>
      <c r="AJ131" s="248">
        <v>0.68131159894500959</v>
      </c>
      <c r="AL131" s="249" t="s">
        <v>410</v>
      </c>
      <c r="AM131" s="244">
        <v>34054</v>
      </c>
      <c r="AN131" s="250">
        <v>0.49559763072489921</v>
      </c>
      <c r="AO131" s="251">
        <v>2</v>
      </c>
      <c r="AP131" s="251">
        <v>1</v>
      </c>
      <c r="AQ131" s="252"/>
      <c r="AR131" s="252"/>
      <c r="AS131" s="251">
        <v>5</v>
      </c>
      <c r="AT131" s="252"/>
      <c r="AU131" s="251">
        <v>3</v>
      </c>
      <c r="AV131" s="252"/>
      <c r="AW131" s="252"/>
      <c r="AX131" s="253">
        <v>6</v>
      </c>
      <c r="AY131" s="253">
        <v>4</v>
      </c>
      <c r="AZ131" s="254" t="s">
        <v>7</v>
      </c>
      <c r="BA131" s="244">
        <v>24908</v>
      </c>
      <c r="BB131" s="242">
        <v>0.36249326910482732</v>
      </c>
      <c r="BC131" s="244">
        <v>9146</v>
      </c>
      <c r="BD131" s="255">
        <v>0.13310436162007189</v>
      </c>
    </row>
    <row r="132" spans="1:56" ht="17.100000000000001" customHeight="1">
      <c r="A132" s="239" t="s">
        <v>348</v>
      </c>
      <c r="B132" s="240">
        <v>10670</v>
      </c>
      <c r="C132" s="241">
        <v>3967</v>
      </c>
      <c r="D132" s="242">
        <v>0.49279503105590061</v>
      </c>
      <c r="E132" s="243">
        <v>3659</v>
      </c>
      <c r="F132" s="242">
        <v>0.45453416149068321</v>
      </c>
      <c r="G132" s="222"/>
      <c r="H132" s="223"/>
      <c r="I132" s="222"/>
      <c r="J132" s="223"/>
      <c r="K132" s="222"/>
      <c r="L132" s="223"/>
      <c r="M132" s="222"/>
      <c r="N132" s="223"/>
      <c r="O132" s="241">
        <v>138</v>
      </c>
      <c r="P132" s="242">
        <v>1.7142857142857144E-2</v>
      </c>
      <c r="Q132" s="222"/>
      <c r="R132" s="223"/>
      <c r="S132" s="222"/>
      <c r="T132" s="223"/>
      <c r="U132" s="241">
        <v>4</v>
      </c>
      <c r="V132" s="242">
        <v>4.9689440993788822E-4</v>
      </c>
      <c r="W132" s="244">
        <v>7768</v>
      </c>
      <c r="X132" s="242">
        <v>0.96496894409937883</v>
      </c>
      <c r="Y132" s="241">
        <v>282</v>
      </c>
      <c r="Z132" s="245">
        <v>3.5031055900621118E-2</v>
      </c>
      <c r="AA132" s="246">
        <v>8050</v>
      </c>
      <c r="AC132" s="247"/>
      <c r="AD132" s="248">
        <v>0</v>
      </c>
      <c r="AF132" s="247"/>
      <c r="AG132" s="248">
        <v>0</v>
      </c>
      <c r="AI132" s="240">
        <v>8050</v>
      </c>
      <c r="AJ132" s="248">
        <v>0.7544517338331771</v>
      </c>
      <c r="AL132" s="249" t="s">
        <v>7</v>
      </c>
      <c r="AM132" s="244">
        <v>3967</v>
      </c>
      <c r="AN132" s="250">
        <v>0.49279503105590061</v>
      </c>
      <c r="AO132" s="251">
        <v>1</v>
      </c>
      <c r="AP132" s="251">
        <v>2</v>
      </c>
      <c r="AQ132" s="252"/>
      <c r="AR132" s="252"/>
      <c r="AS132" s="252"/>
      <c r="AT132" s="252"/>
      <c r="AU132" s="251">
        <v>4</v>
      </c>
      <c r="AV132" s="252"/>
      <c r="AW132" s="252"/>
      <c r="AX132" s="253">
        <v>5</v>
      </c>
      <c r="AY132" s="253">
        <v>3</v>
      </c>
      <c r="AZ132" s="254" t="s">
        <v>410</v>
      </c>
      <c r="BA132" s="244">
        <v>3659</v>
      </c>
      <c r="BB132" s="242">
        <v>0.45453416149068321</v>
      </c>
      <c r="BC132" s="244">
        <v>308</v>
      </c>
      <c r="BD132" s="255">
        <v>3.8260869565217404E-2</v>
      </c>
    </row>
    <row r="133" spans="1:56" ht="17.100000000000001" customHeight="1">
      <c r="A133" s="239" t="s">
        <v>456</v>
      </c>
      <c r="B133" s="240">
        <v>102329</v>
      </c>
      <c r="C133" s="241">
        <v>17783</v>
      </c>
      <c r="D133" s="242">
        <v>0.27183649760004891</v>
      </c>
      <c r="E133" s="243">
        <v>25367</v>
      </c>
      <c r="F133" s="242">
        <v>0.38776789262894007</v>
      </c>
      <c r="G133" s="241">
        <v>10413</v>
      </c>
      <c r="H133" s="242">
        <v>0.15917637347519031</v>
      </c>
      <c r="I133" s="222"/>
      <c r="J133" s="223"/>
      <c r="K133" s="222"/>
      <c r="L133" s="223"/>
      <c r="M133" s="222"/>
      <c r="N133" s="223"/>
      <c r="O133" s="222"/>
      <c r="P133" s="223"/>
      <c r="Q133" s="222"/>
      <c r="R133" s="223"/>
      <c r="S133" s="241">
        <v>9186</v>
      </c>
      <c r="T133" s="242">
        <v>0.1404200678712281</v>
      </c>
      <c r="U133" s="241">
        <v>37</v>
      </c>
      <c r="V133" s="242">
        <v>5.6559356751964291E-4</v>
      </c>
      <c r="W133" s="244">
        <v>62786</v>
      </c>
      <c r="X133" s="242">
        <v>0.95976642514292698</v>
      </c>
      <c r="Y133" s="241">
        <v>2101</v>
      </c>
      <c r="Z133" s="245">
        <v>3.2116542847534318E-2</v>
      </c>
      <c r="AA133" s="246">
        <v>64887</v>
      </c>
      <c r="AC133" s="247">
        <v>531</v>
      </c>
      <c r="AD133" s="248">
        <v>8.1170320095386595E-3</v>
      </c>
      <c r="AF133" s="247"/>
      <c r="AG133" s="248">
        <v>0</v>
      </c>
      <c r="AI133" s="264">
        <v>65418</v>
      </c>
      <c r="AJ133" s="248">
        <v>0.63929091459898957</v>
      </c>
      <c r="AL133" s="249" t="s">
        <v>410</v>
      </c>
      <c r="AM133" s="244">
        <v>25367</v>
      </c>
      <c r="AN133" s="250">
        <v>0.38776789262894007</v>
      </c>
      <c r="AO133" s="251">
        <v>2</v>
      </c>
      <c r="AP133" s="251">
        <v>1</v>
      </c>
      <c r="AQ133" s="251">
        <v>3</v>
      </c>
      <c r="AR133" s="252"/>
      <c r="AS133" s="252"/>
      <c r="AT133" s="252"/>
      <c r="AU133" s="252"/>
      <c r="AV133" s="252"/>
      <c r="AW133" s="251">
        <v>4</v>
      </c>
      <c r="AX133" s="253">
        <v>6</v>
      </c>
      <c r="AY133" s="253">
        <v>5</v>
      </c>
      <c r="AZ133" s="254" t="s">
        <v>7</v>
      </c>
      <c r="BA133" s="244">
        <v>17783</v>
      </c>
      <c r="BB133" s="242">
        <v>0.27183649760004891</v>
      </c>
      <c r="BC133" s="244">
        <v>7584</v>
      </c>
      <c r="BD133" s="255">
        <v>0.11593139502889116</v>
      </c>
    </row>
    <row r="134" spans="1:56" ht="17.100000000000001" customHeight="1">
      <c r="A134" s="239" t="s">
        <v>457</v>
      </c>
      <c r="B134" s="240">
        <v>236926</v>
      </c>
      <c r="C134" s="241">
        <v>10337</v>
      </c>
      <c r="D134" s="242">
        <v>7.4370651759441117E-2</v>
      </c>
      <c r="E134" s="243">
        <v>48902</v>
      </c>
      <c r="F134" s="242">
        <v>0.35183066773146848</v>
      </c>
      <c r="G134" s="241">
        <v>53919</v>
      </c>
      <c r="H134" s="242">
        <v>0.38792601066240745</v>
      </c>
      <c r="I134" s="241">
        <v>4625</v>
      </c>
      <c r="J134" s="242">
        <v>3.3275057017259864E-2</v>
      </c>
      <c r="K134" s="241">
        <v>7353</v>
      </c>
      <c r="L134" s="242">
        <v>5.2901944702251194E-2</v>
      </c>
      <c r="M134" s="222"/>
      <c r="N134" s="223"/>
      <c r="O134" s="222"/>
      <c r="P134" s="223"/>
      <c r="Q134" s="222"/>
      <c r="R134" s="223"/>
      <c r="S134" s="222"/>
      <c r="T134" s="223"/>
      <c r="U134" s="241">
        <v>165</v>
      </c>
      <c r="V134" s="242">
        <v>1.1871101422373789E-3</v>
      </c>
      <c r="W134" s="244">
        <v>125301</v>
      </c>
      <c r="X134" s="242">
        <v>0.90149144201506548</v>
      </c>
      <c r="Y134" s="241">
        <v>12200</v>
      </c>
      <c r="Z134" s="245">
        <v>8.777420445633953E-2</v>
      </c>
      <c r="AA134" s="246">
        <v>137501</v>
      </c>
      <c r="AC134" s="247">
        <v>1492</v>
      </c>
      <c r="AD134" s="248">
        <v>1.0734353528594965E-2</v>
      </c>
      <c r="AF134" s="247"/>
      <c r="AG134" s="248">
        <v>0</v>
      </c>
      <c r="AI134" s="240">
        <v>138993</v>
      </c>
      <c r="AJ134" s="268">
        <v>0.58665152832529988</v>
      </c>
      <c r="AL134" s="249" t="s">
        <v>10</v>
      </c>
      <c r="AM134" s="244">
        <v>53919</v>
      </c>
      <c r="AN134" s="250">
        <v>0.38792601066240745</v>
      </c>
      <c r="AO134" s="251">
        <v>4</v>
      </c>
      <c r="AP134" s="251">
        <v>2</v>
      </c>
      <c r="AQ134" s="251">
        <v>1</v>
      </c>
      <c r="AR134" s="251">
        <v>6</v>
      </c>
      <c r="AS134" s="251">
        <v>5</v>
      </c>
      <c r="AT134" s="252"/>
      <c r="AU134" s="252"/>
      <c r="AV134" s="252"/>
      <c r="AW134" s="252"/>
      <c r="AX134" s="253">
        <v>7</v>
      </c>
      <c r="AY134" s="253">
        <v>3</v>
      </c>
      <c r="AZ134" s="254" t="s">
        <v>410</v>
      </c>
      <c r="BA134" s="244">
        <v>48902</v>
      </c>
      <c r="BB134" s="242">
        <v>0.35183066773146848</v>
      </c>
      <c r="BC134" s="244">
        <v>5017</v>
      </c>
      <c r="BD134" s="255">
        <v>3.6095342930938967E-2</v>
      </c>
    </row>
    <row r="135" spans="1:56" ht="17.100000000000001" customHeight="1">
      <c r="A135" s="239" t="s">
        <v>351</v>
      </c>
      <c r="B135" s="240">
        <v>21425</v>
      </c>
      <c r="C135" s="241">
        <v>5775</v>
      </c>
      <c r="D135" s="242">
        <v>0.38828750084044916</v>
      </c>
      <c r="E135" s="243">
        <v>2770</v>
      </c>
      <c r="F135" s="242">
        <v>0.18624352854165266</v>
      </c>
      <c r="G135" s="222"/>
      <c r="H135" s="223"/>
      <c r="I135" s="222"/>
      <c r="J135" s="223"/>
      <c r="K135" s="222"/>
      <c r="L135" s="223"/>
      <c r="M135" s="222"/>
      <c r="N135" s="223"/>
      <c r="O135" s="241">
        <v>5851</v>
      </c>
      <c r="P135" s="242">
        <v>0.39339743158744034</v>
      </c>
      <c r="Q135" s="222"/>
      <c r="R135" s="223"/>
      <c r="S135" s="222"/>
      <c r="T135" s="223"/>
      <c r="U135" s="241">
        <v>17</v>
      </c>
      <c r="V135" s="242">
        <v>1.1430108249848719E-3</v>
      </c>
      <c r="W135" s="244">
        <v>14413</v>
      </c>
      <c r="X135" s="242">
        <v>0.96907147179452702</v>
      </c>
      <c r="Y135" s="241">
        <v>460</v>
      </c>
      <c r="Z135" s="245">
        <v>3.0928528205473003E-2</v>
      </c>
      <c r="AA135" s="246">
        <v>14873</v>
      </c>
      <c r="AC135" s="247"/>
      <c r="AD135" s="248">
        <v>0</v>
      </c>
      <c r="AF135" s="247"/>
      <c r="AG135" s="248">
        <v>0</v>
      </c>
      <c r="AI135" s="273">
        <v>14873</v>
      </c>
      <c r="AJ135" s="248">
        <v>0.69418903150525091</v>
      </c>
      <c r="AL135" s="249" t="s">
        <v>256</v>
      </c>
      <c r="AM135" s="244">
        <v>5851</v>
      </c>
      <c r="AN135" s="250">
        <v>0.39339743158744034</v>
      </c>
      <c r="AO135" s="251">
        <v>2</v>
      </c>
      <c r="AP135" s="251">
        <v>3</v>
      </c>
      <c r="AQ135" s="252"/>
      <c r="AR135" s="252"/>
      <c r="AS135" s="252"/>
      <c r="AT135" s="252"/>
      <c r="AU135" s="251">
        <v>1</v>
      </c>
      <c r="AV135" s="252"/>
      <c r="AW135" s="252"/>
      <c r="AX135" s="253">
        <v>5</v>
      </c>
      <c r="AY135" s="253">
        <v>4</v>
      </c>
      <c r="AZ135" s="254" t="s">
        <v>7</v>
      </c>
      <c r="BA135" s="244">
        <v>5775</v>
      </c>
      <c r="BB135" s="242">
        <v>0.38828750084044916</v>
      </c>
      <c r="BC135" s="244">
        <v>76</v>
      </c>
      <c r="BD135" s="255">
        <v>5.1099307469911759E-3</v>
      </c>
    </row>
    <row r="136" spans="1:56" ht="17.100000000000001" customHeight="1">
      <c r="A136" s="239" t="s">
        <v>352</v>
      </c>
      <c r="B136" s="240">
        <v>53469</v>
      </c>
      <c r="C136" s="241">
        <v>11805</v>
      </c>
      <c r="D136" s="242">
        <v>0.35022398908238644</v>
      </c>
      <c r="E136" s="243">
        <v>16235</v>
      </c>
      <c r="F136" s="242">
        <v>0.48165069570118968</v>
      </c>
      <c r="G136" s="241">
        <v>1433</v>
      </c>
      <c r="H136" s="242">
        <v>4.2513424511229123E-2</v>
      </c>
      <c r="I136" s="241">
        <v>980</v>
      </c>
      <c r="J136" s="242">
        <v>2.9074079568042248E-2</v>
      </c>
      <c r="K136" s="241">
        <v>1221</v>
      </c>
      <c r="L136" s="242">
        <v>3.6223929747530186E-2</v>
      </c>
      <c r="M136" s="222"/>
      <c r="N136" s="223"/>
      <c r="O136" s="222"/>
      <c r="P136" s="223"/>
      <c r="Q136" s="222"/>
      <c r="R136" s="223"/>
      <c r="S136" s="222"/>
      <c r="T136" s="223"/>
      <c r="U136" s="241">
        <v>21</v>
      </c>
      <c r="V136" s="242">
        <v>6.230159907437624E-4</v>
      </c>
      <c r="W136" s="244">
        <v>31695</v>
      </c>
      <c r="X136" s="242">
        <v>0.94030913460112142</v>
      </c>
      <c r="Y136" s="241">
        <v>2012</v>
      </c>
      <c r="Z136" s="245">
        <v>5.9690865398878572E-2</v>
      </c>
      <c r="AA136" s="246">
        <v>33707</v>
      </c>
      <c r="AC136" s="247"/>
      <c r="AD136" s="248">
        <v>0</v>
      </c>
      <c r="AF136" s="247"/>
      <c r="AG136" s="248">
        <v>0</v>
      </c>
      <c r="AI136" s="240">
        <v>33707</v>
      </c>
      <c r="AJ136" s="248">
        <v>0.63040266322542038</v>
      </c>
      <c r="AL136" s="249" t="s">
        <v>410</v>
      </c>
      <c r="AM136" s="244">
        <v>16235</v>
      </c>
      <c r="AN136" s="250">
        <v>0.48165069570118968</v>
      </c>
      <c r="AO136" s="251">
        <v>2</v>
      </c>
      <c r="AP136" s="251">
        <v>1</v>
      </c>
      <c r="AQ136" s="251">
        <v>4</v>
      </c>
      <c r="AR136" s="251">
        <v>6</v>
      </c>
      <c r="AS136" s="251">
        <v>5</v>
      </c>
      <c r="AT136" s="252"/>
      <c r="AU136" s="252"/>
      <c r="AV136" s="252"/>
      <c r="AW136" s="252"/>
      <c r="AX136" s="253">
        <v>7</v>
      </c>
      <c r="AY136" s="253">
        <v>3</v>
      </c>
      <c r="AZ136" s="254" t="s">
        <v>7</v>
      </c>
      <c r="BA136" s="244">
        <v>11805</v>
      </c>
      <c r="BB136" s="242">
        <v>0.35022398908238644</v>
      </c>
      <c r="BC136" s="244">
        <v>4430</v>
      </c>
      <c r="BD136" s="255">
        <v>0.13142670661880324</v>
      </c>
    </row>
    <row r="137" spans="1:56" ht="17.100000000000001" customHeight="1">
      <c r="A137" s="278" t="s">
        <v>353</v>
      </c>
      <c r="B137" s="279">
        <v>6298</v>
      </c>
      <c r="C137" s="280">
        <v>621</v>
      </c>
      <c r="D137" s="281">
        <v>0.13526464822478762</v>
      </c>
      <c r="E137" s="282">
        <v>1777</v>
      </c>
      <c r="F137" s="281">
        <v>0.38706164234371598</v>
      </c>
      <c r="G137" s="241">
        <v>813</v>
      </c>
      <c r="H137" s="242">
        <v>0.17708560226530168</v>
      </c>
      <c r="I137" s="280">
        <v>639</v>
      </c>
      <c r="J137" s="281">
        <v>0.13918536266608583</v>
      </c>
      <c r="K137" s="280">
        <v>590</v>
      </c>
      <c r="L137" s="281">
        <v>0.12851230668699629</v>
      </c>
      <c r="M137" s="283"/>
      <c r="N137" s="284"/>
      <c r="O137" s="283"/>
      <c r="P137" s="284"/>
      <c r="Q137" s="283"/>
      <c r="R137" s="284"/>
      <c r="S137" s="283"/>
      <c r="T137" s="284"/>
      <c r="U137" s="280">
        <v>6</v>
      </c>
      <c r="V137" s="281">
        <v>1.3069048137660641E-3</v>
      </c>
      <c r="W137" s="285">
        <v>4446</v>
      </c>
      <c r="X137" s="281">
        <v>0.96841646700065342</v>
      </c>
      <c r="Y137" s="280">
        <v>145</v>
      </c>
      <c r="Z137" s="286">
        <v>3.1583532999346547E-2</v>
      </c>
      <c r="AA137" s="287">
        <v>4591</v>
      </c>
      <c r="AC137" s="288"/>
      <c r="AD137" s="289">
        <v>0</v>
      </c>
      <c r="AF137" s="288"/>
      <c r="AG137" s="289">
        <v>0</v>
      </c>
      <c r="AI137" s="279">
        <v>4591</v>
      </c>
      <c r="AJ137" s="289">
        <v>0.72896157510320736</v>
      </c>
      <c r="AL137" s="290" t="s">
        <v>410</v>
      </c>
      <c r="AM137" s="285">
        <v>1777</v>
      </c>
      <c r="AN137" s="291">
        <v>0.38706164234371598</v>
      </c>
      <c r="AO137" s="292">
        <v>4</v>
      </c>
      <c r="AP137" s="292">
        <v>1</v>
      </c>
      <c r="AQ137" s="292">
        <v>2</v>
      </c>
      <c r="AR137" s="292">
        <v>3</v>
      </c>
      <c r="AS137" s="292">
        <v>5</v>
      </c>
      <c r="AT137" s="293"/>
      <c r="AU137" s="293"/>
      <c r="AV137" s="293"/>
      <c r="AW137" s="293"/>
      <c r="AX137" s="294">
        <v>7</v>
      </c>
      <c r="AY137" s="294">
        <v>6</v>
      </c>
      <c r="AZ137" s="295" t="s">
        <v>10</v>
      </c>
      <c r="BA137" s="285">
        <v>813</v>
      </c>
      <c r="BB137" s="281">
        <v>0.17708560226530168</v>
      </c>
      <c r="BC137" s="285">
        <v>964</v>
      </c>
      <c r="BD137" s="296">
        <v>0.20997604007841431</v>
      </c>
    </row>
    <row r="138" spans="1:56" ht="17.100000000000001" customHeight="1">
      <c r="A138" s="297"/>
      <c r="B138" s="298"/>
      <c r="N138" s="299"/>
      <c r="O138" s="299"/>
      <c r="P138" s="299"/>
      <c r="Q138" s="299"/>
      <c r="R138" s="299"/>
      <c r="S138" s="299"/>
      <c r="T138" s="299"/>
      <c r="U138" s="298"/>
      <c r="V138" s="299"/>
      <c r="W138" s="298"/>
      <c r="X138" s="299"/>
      <c r="Y138" s="298"/>
      <c r="Z138" s="299"/>
      <c r="AA138" s="299"/>
      <c r="AC138" s="299"/>
      <c r="AD138" s="299"/>
      <c r="AL138" s="177" t="s">
        <v>354</v>
      </c>
      <c r="AM138" s="298"/>
      <c r="AN138" s="300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301"/>
      <c r="BA138" s="298"/>
      <c r="BB138" s="298"/>
      <c r="BC138" s="298"/>
    </row>
    <row r="139" spans="1:56">
      <c r="C139" s="302" t="s">
        <v>458</v>
      </c>
      <c r="AC139" s="302" t="s">
        <v>458</v>
      </c>
      <c r="AL139" s="251" t="s">
        <v>356</v>
      </c>
      <c r="AM139" s="303"/>
      <c r="AN139" s="304"/>
      <c r="AO139" s="304"/>
      <c r="AP139" s="304"/>
      <c r="AQ139" s="304"/>
      <c r="AR139" s="304"/>
      <c r="AS139" s="304"/>
      <c r="AT139" s="304"/>
      <c r="AU139" s="304"/>
      <c r="AV139" s="304"/>
      <c r="AW139" s="304"/>
      <c r="AX139" s="304"/>
      <c r="AY139" s="305"/>
      <c r="AZ139" s="251" t="s">
        <v>357</v>
      </c>
    </row>
    <row r="140" spans="1:56" ht="15" customHeight="1">
      <c r="A140" s="306"/>
      <c r="C140" s="180" t="s">
        <v>459</v>
      </c>
      <c r="I140" s="212">
        <v>16</v>
      </c>
      <c r="K140" s="307"/>
      <c r="AC140" s="180" t="s">
        <v>459</v>
      </c>
      <c r="AL140" s="308">
        <v>16</v>
      </c>
      <c r="AM140" s="309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310"/>
      <c r="AZ140" s="308">
        <v>46</v>
      </c>
      <c r="BA140" s="309"/>
      <c r="BB140" s="215"/>
      <c r="BC140" s="215"/>
      <c r="BD140" s="215"/>
    </row>
    <row r="141" spans="1:56" ht="25.5" customHeight="1">
      <c r="C141" s="180" t="s">
        <v>460</v>
      </c>
      <c r="I141" s="212">
        <v>94</v>
      </c>
      <c r="AC141" s="180" t="s">
        <v>460</v>
      </c>
      <c r="AL141" s="308">
        <v>94</v>
      </c>
      <c r="AM141" s="309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310"/>
      <c r="AZ141" s="308">
        <v>27</v>
      </c>
      <c r="BA141" s="309"/>
      <c r="BB141" s="215"/>
      <c r="BC141" s="215"/>
      <c r="BD141" s="215"/>
    </row>
    <row r="142" spans="1:56" ht="15" customHeight="1">
      <c r="C142" s="180" t="s">
        <v>461</v>
      </c>
      <c r="I142" s="212">
        <v>3</v>
      </c>
      <c r="M142" s="307"/>
      <c r="AC142" s="180" t="s">
        <v>461</v>
      </c>
      <c r="AL142" s="308">
        <v>3</v>
      </c>
      <c r="AM142" s="309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310"/>
      <c r="AZ142" s="308">
        <v>17</v>
      </c>
      <c r="BA142" s="309"/>
      <c r="BB142" s="215"/>
      <c r="BC142" s="215"/>
      <c r="BD142" s="215"/>
    </row>
    <row r="143" spans="1:56" ht="15" customHeight="1">
      <c r="C143" s="180" t="s">
        <v>462</v>
      </c>
      <c r="I143" s="212">
        <v>2</v>
      </c>
      <c r="AC143" s="180" t="s">
        <v>462</v>
      </c>
      <c r="AL143" s="308">
        <v>2</v>
      </c>
      <c r="AM143" s="309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310"/>
      <c r="AZ143" s="308">
        <v>9</v>
      </c>
      <c r="BA143" s="309"/>
      <c r="BB143" s="215"/>
      <c r="BC143" s="215"/>
      <c r="BD143" s="215"/>
    </row>
    <row r="144" spans="1:56" ht="15" customHeight="1">
      <c r="C144" s="180" t="s">
        <v>463</v>
      </c>
      <c r="I144" s="212">
        <v>0</v>
      </c>
      <c r="AC144" s="180" t="s">
        <v>463</v>
      </c>
      <c r="AL144" s="308">
        <v>0</v>
      </c>
      <c r="AM144" s="309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310"/>
      <c r="AZ144" s="308">
        <v>7</v>
      </c>
      <c r="BA144" s="309"/>
      <c r="BB144" s="215"/>
      <c r="BC144" s="215"/>
      <c r="BD144" s="215"/>
    </row>
    <row r="145" spans="2:56" ht="25.5" customHeight="1">
      <c r="C145" s="180" t="s">
        <v>464</v>
      </c>
      <c r="I145" s="212">
        <v>1</v>
      </c>
      <c r="AC145" s="180" t="s">
        <v>464</v>
      </c>
      <c r="AL145" s="308">
        <v>1</v>
      </c>
      <c r="AM145" s="309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310"/>
      <c r="AZ145" s="308">
        <v>6</v>
      </c>
      <c r="BA145" s="309"/>
      <c r="BB145" s="215"/>
      <c r="BC145" s="215"/>
      <c r="BD145" s="215"/>
    </row>
    <row r="146" spans="2:56" ht="25.5" customHeight="1">
      <c r="C146" s="180" t="s">
        <v>465</v>
      </c>
      <c r="I146" s="212">
        <v>6</v>
      </c>
      <c r="AC146" s="180" t="s">
        <v>465</v>
      </c>
      <c r="AL146" s="308">
        <v>6</v>
      </c>
      <c r="AM146" s="309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310"/>
      <c r="AZ146" s="308">
        <v>9</v>
      </c>
      <c r="BA146" s="309"/>
      <c r="BB146" s="215"/>
      <c r="BC146" s="215"/>
      <c r="BD146" s="215"/>
    </row>
    <row r="147" spans="2:56" ht="25.5" customHeight="1">
      <c r="C147" s="180" t="s">
        <v>466</v>
      </c>
      <c r="I147" s="212">
        <v>1</v>
      </c>
      <c r="AC147" s="180" t="s">
        <v>466</v>
      </c>
      <c r="AL147" s="308">
        <v>1</v>
      </c>
      <c r="AM147" s="309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310"/>
      <c r="AZ147" s="308">
        <v>2</v>
      </c>
      <c r="BA147" s="309"/>
      <c r="BB147" s="215"/>
      <c r="BC147" s="215"/>
      <c r="BD147" s="215"/>
    </row>
    <row r="148" spans="2:56" ht="25.5" customHeight="1">
      <c r="C148" s="180" t="s">
        <v>467</v>
      </c>
      <c r="I148" s="212">
        <v>2</v>
      </c>
      <c r="AC148" s="180" t="s">
        <v>467</v>
      </c>
      <c r="AL148" s="308">
        <v>2</v>
      </c>
      <c r="AM148" s="309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310"/>
      <c r="AZ148" s="308">
        <v>2</v>
      </c>
      <c r="BA148" s="309"/>
      <c r="BB148" s="215"/>
      <c r="BC148" s="215"/>
      <c r="BD148" s="215"/>
    </row>
    <row r="149" spans="2:56" ht="15" customHeight="1">
      <c r="F149" s="180" t="s">
        <v>22</v>
      </c>
      <c r="I149" s="212">
        <v>125</v>
      </c>
      <c r="AI149" s="180" t="s">
        <v>22</v>
      </c>
      <c r="AL149" s="311">
        <v>125</v>
      </c>
      <c r="AM149" s="303"/>
      <c r="AN149" s="304"/>
      <c r="AO149" s="304"/>
      <c r="AP149" s="304"/>
      <c r="AQ149" s="304"/>
      <c r="AR149" s="304"/>
      <c r="AS149" s="304"/>
      <c r="AT149" s="304"/>
      <c r="AU149" s="304"/>
      <c r="AV149" s="304"/>
      <c r="AW149" s="304"/>
      <c r="AX149" s="304"/>
      <c r="AY149" s="305"/>
      <c r="AZ149" s="311">
        <v>125</v>
      </c>
      <c r="BA149" s="303"/>
      <c r="BB149" s="304"/>
      <c r="BC149" s="304"/>
      <c r="BD149" s="304"/>
    </row>
    <row r="151" spans="2:56">
      <c r="B151" s="177" t="s">
        <v>468</v>
      </c>
      <c r="C151" s="177" t="s">
        <v>469</v>
      </c>
    </row>
    <row r="152" spans="2:56">
      <c r="C152" s="177" t="s">
        <v>470</v>
      </c>
    </row>
    <row r="153" spans="2:56">
      <c r="C153" s="180" t="s">
        <v>471</v>
      </c>
    </row>
    <row r="154" spans="2:56">
      <c r="C154" s="180" t="s">
        <v>472</v>
      </c>
    </row>
    <row r="155" spans="2:56">
      <c r="C155" s="180" t="s">
        <v>473</v>
      </c>
    </row>
    <row r="156" spans="2:56">
      <c r="C156" s="180" t="s">
        <v>474</v>
      </c>
    </row>
    <row r="157" spans="2:56">
      <c r="C157" s="180" t="s">
        <v>475</v>
      </c>
    </row>
    <row r="158" spans="2:56">
      <c r="C158" s="180" t="s">
        <v>476</v>
      </c>
    </row>
    <row r="159" spans="2:56">
      <c r="C159" s="180" t="s">
        <v>477</v>
      </c>
    </row>
    <row r="160" spans="2:56">
      <c r="B160"/>
      <c r="C160" s="180" t="s">
        <v>478</v>
      </c>
    </row>
    <row r="161" spans="2:3">
      <c r="B161"/>
      <c r="C161" s="180" t="s">
        <v>479</v>
      </c>
    </row>
    <row r="162" spans="2:3">
      <c r="B162"/>
      <c r="C162" s="180" t="s">
        <v>480</v>
      </c>
    </row>
    <row r="163" spans="2:3">
      <c r="B163"/>
      <c r="C163" s="180" t="s">
        <v>481</v>
      </c>
    </row>
    <row r="164" spans="2:3">
      <c r="B164"/>
      <c r="C164" s="180" t="s">
        <v>482</v>
      </c>
    </row>
    <row r="165" spans="2:3">
      <c r="B165"/>
      <c r="C165" s="180" t="s">
        <v>483</v>
      </c>
    </row>
    <row r="166" spans="2:3">
      <c r="B166"/>
      <c r="C166" s="180" t="s">
        <v>484</v>
      </c>
    </row>
    <row r="167" spans="2:3">
      <c r="B167"/>
      <c r="C167" s="180" t="s">
        <v>485</v>
      </c>
    </row>
    <row r="168" spans="2:3">
      <c r="B168"/>
      <c r="C168" s="180" t="s">
        <v>486</v>
      </c>
    </row>
    <row r="169" spans="2:3">
      <c r="C169" s="180" t="s">
        <v>487</v>
      </c>
    </row>
    <row r="170" spans="2:3">
      <c r="C170" s="180" t="s">
        <v>488</v>
      </c>
    </row>
    <row r="171" spans="2:3">
      <c r="C171" s="180" t="s">
        <v>489</v>
      </c>
    </row>
  </sheetData>
  <mergeCells count="27">
    <mergeCell ref="AJ9:AJ11"/>
    <mergeCell ref="AL9:AN10"/>
    <mergeCell ref="AO9:AY10"/>
    <mergeCell ref="AZ9:BB10"/>
    <mergeCell ref="BC9:BD10"/>
    <mergeCell ref="AI9:AI11"/>
    <mergeCell ref="K9:L9"/>
    <mergeCell ref="M9:N9"/>
    <mergeCell ref="O9:P9"/>
    <mergeCell ref="Q9:R9"/>
    <mergeCell ref="S9:T9"/>
    <mergeCell ref="U9:V10"/>
    <mergeCell ref="W9:X10"/>
    <mergeCell ref="Y9:Z10"/>
    <mergeCell ref="AA9:AA10"/>
    <mergeCell ref="AC9:AD10"/>
    <mergeCell ref="AF9:AG10"/>
    <mergeCell ref="A9:A11"/>
    <mergeCell ref="C9:D9"/>
    <mergeCell ref="E9:F9"/>
    <mergeCell ref="G9:H9"/>
    <mergeCell ref="I9:J9"/>
    <mergeCell ref="E8:F8"/>
    <mergeCell ref="M8:N8"/>
    <mergeCell ref="O8:P8"/>
    <mergeCell ref="Q8:R8"/>
    <mergeCell ref="S8:T8"/>
  </mergeCells>
  <conditionalFormatting sqref="C12">
    <cfRule type="cellIs" dxfId="86" priority="19" stopIfTrue="1" operator="equal">
      <formula>$AN139</formula>
    </cfRule>
    <cfRule type="cellIs" dxfId="85" priority="20" stopIfTrue="1" operator="equal">
      <formula>$AN139</formula>
    </cfRule>
    <cfRule type="cellIs" dxfId="84" priority="21" stopIfTrue="1" operator="equal">
      <formula>$AN139</formula>
    </cfRule>
  </conditionalFormatting>
  <conditionalFormatting sqref="D12">
    <cfRule type="cellIs" dxfId="83" priority="22" stopIfTrue="1" operator="equal">
      <formula>$AO139</formula>
    </cfRule>
  </conditionalFormatting>
  <conditionalFormatting sqref="E12">
    <cfRule type="cellIs" dxfId="82" priority="23" stopIfTrue="1" operator="equal">
      <formula>$AN139</formula>
    </cfRule>
  </conditionalFormatting>
  <conditionalFormatting sqref="F12">
    <cfRule type="cellIs" dxfId="81" priority="24" stopIfTrue="1" operator="equal">
      <formula>$AO139</formula>
    </cfRule>
  </conditionalFormatting>
  <conditionalFormatting sqref="I12 K12 G12 M12 O12 Q12 S12 U12">
    <cfRule type="cellIs" dxfId="80" priority="25" stopIfTrue="1" operator="equal">
      <formula>$AN139</formula>
    </cfRule>
  </conditionalFormatting>
  <conditionalFormatting sqref="H12 J12 N12 L12 P12 R12 T12">
    <cfRule type="cellIs" dxfId="79" priority="26" stopIfTrue="1" operator="equal">
      <formula>$AO139</formula>
    </cfRule>
  </conditionalFormatting>
  <conditionalFormatting sqref="M54:N54 M76:N76 M79:N79 M91:N91 M109:N109 M111:N111 M118:N118 M120:N120">
    <cfRule type="cellIs" dxfId="78" priority="27" stopIfTrue="1" operator="equal">
      <formula>$AM54</formula>
    </cfRule>
  </conditionalFormatting>
  <conditionalFormatting sqref="C13:C137">
    <cfRule type="cellIs" dxfId="77" priority="28" stopIfTrue="1" operator="equal">
      <formula>$AM13</formula>
    </cfRule>
  </conditionalFormatting>
  <conditionalFormatting sqref="D13:D137">
    <cfRule type="cellIs" dxfId="76" priority="29" stopIfTrue="1" operator="equal">
      <formula>$AN13</formula>
    </cfRule>
  </conditionalFormatting>
  <conditionalFormatting sqref="Q13:Q137">
    <cfRule type="cellIs" dxfId="75" priority="30" stopIfTrue="1" operator="equal">
      <formula>$AM13</formula>
    </cfRule>
  </conditionalFormatting>
  <conditionalFormatting sqref="R13:R137">
    <cfRule type="cellIs" dxfId="74" priority="31" stopIfTrue="1" operator="equal">
      <formula>$AN13</formula>
    </cfRule>
  </conditionalFormatting>
  <conditionalFormatting sqref="G13:G137">
    <cfRule type="cellIs" dxfId="73" priority="32" stopIfTrue="1" operator="equal">
      <formula>$AM13</formula>
    </cfRule>
  </conditionalFormatting>
  <conditionalFormatting sqref="H13:H137">
    <cfRule type="cellIs" dxfId="72" priority="33" stopIfTrue="1" operator="equal">
      <formula>$AN13</formula>
    </cfRule>
  </conditionalFormatting>
  <conditionalFormatting sqref="I13:I137">
    <cfRule type="cellIs" dxfId="71" priority="34" stopIfTrue="1" operator="equal">
      <formula>$AM13</formula>
    </cfRule>
  </conditionalFormatting>
  <conditionalFormatting sqref="J13:J137">
    <cfRule type="cellIs" dxfId="70" priority="35" stopIfTrue="1" operator="equal">
      <formula>$AN13</formula>
    </cfRule>
  </conditionalFormatting>
  <conditionalFormatting sqref="K13:K137">
    <cfRule type="cellIs" dxfId="69" priority="36" stopIfTrue="1" operator="equal">
      <formula>$AM13</formula>
    </cfRule>
  </conditionalFormatting>
  <conditionalFormatting sqref="N13:N137">
    <cfRule type="cellIs" dxfId="68" priority="37" stopIfTrue="1" operator="equal">
      <formula>$AN13</formula>
    </cfRule>
  </conditionalFormatting>
  <conditionalFormatting sqref="M13:M137">
    <cfRule type="cellIs" dxfId="67" priority="38" stopIfTrue="1" operator="equal">
      <formula>$AM13</formula>
    </cfRule>
  </conditionalFormatting>
  <conditionalFormatting sqref="O13:O137">
    <cfRule type="cellIs" dxfId="66" priority="39" stopIfTrue="1" operator="equal">
      <formula>$AM13</formula>
    </cfRule>
  </conditionalFormatting>
  <conditionalFormatting sqref="P13:P137">
    <cfRule type="cellIs" dxfId="65" priority="40" stopIfTrue="1" operator="equal">
      <formula>$AN13</formula>
    </cfRule>
  </conditionalFormatting>
  <conditionalFormatting sqref="S13:S137">
    <cfRule type="cellIs" dxfId="64" priority="41" stopIfTrue="1" operator="equal">
      <formula>$AM13</formula>
    </cfRule>
  </conditionalFormatting>
  <conditionalFormatting sqref="L13:L137">
    <cfRule type="cellIs" dxfId="63" priority="45" stopIfTrue="1" operator="equal">
      <formula>$AN13</formula>
    </cfRule>
  </conditionalFormatting>
  <conditionalFormatting sqref="T13:T137">
    <cfRule type="cellIs" dxfId="62" priority="46" stopIfTrue="1" operator="equal">
      <formula>$AN13</formula>
    </cfRule>
  </conditionalFormatting>
  <conditionalFormatting sqref="I140:I147">
    <cfRule type="cellIs" dxfId="61" priority="47" stopIfTrue="1" operator="equal">
      <formula>0</formula>
    </cfRule>
  </conditionalFormatting>
  <conditionalFormatting sqref="AI13:AI137">
    <cfRule type="cellIs" dxfId="60" priority="48" stopIfTrue="1" operator="notEqual">
      <formula>#REF!</formula>
    </cfRule>
  </conditionalFormatting>
  <conditionalFormatting sqref="AC13:AC137 AF13:AF137">
    <cfRule type="cellIs" dxfId="59" priority="49" stopIfTrue="1" operator="equal">
      <formula>0</formula>
    </cfRule>
  </conditionalFormatting>
  <conditionalFormatting sqref="AD13:AD137 AG13:AG137">
    <cfRule type="cellIs" dxfId="58" priority="50" stopIfTrue="1" operator="equal">
      <formula>0</formula>
    </cfRule>
  </conditionalFormatting>
  <conditionalFormatting sqref="AL14:AL16">
    <cfRule type="cellIs" dxfId="57" priority="17" stopIfTrue="1" operator="equal">
      <formula>$C$9</formula>
    </cfRule>
  </conditionalFormatting>
  <conditionalFormatting sqref="AL17:AL137">
    <cfRule type="cellIs" dxfId="56" priority="14" stopIfTrue="1" operator="equal">
      <formula>$E$9</formula>
    </cfRule>
    <cfRule type="cellIs" dxfId="55" priority="15" stopIfTrue="1" operator="equal">
      <formula>$G$9</formula>
    </cfRule>
    <cfRule type="cellIs" dxfId="54" priority="16" stopIfTrue="1" operator="equal">
      <formula>$K$9</formula>
    </cfRule>
  </conditionalFormatting>
  <conditionalFormatting sqref="AL17:AL137">
    <cfRule type="cellIs" dxfId="53" priority="13" stopIfTrue="1" operator="equal">
      <formula>$C$9</formula>
    </cfRule>
  </conditionalFormatting>
  <conditionalFormatting sqref="AZ13:AZ137">
    <cfRule type="cellIs" dxfId="52" priority="10" stopIfTrue="1" operator="equal">
      <formula>$E$9</formula>
    </cfRule>
    <cfRule type="cellIs" dxfId="51" priority="11" stopIfTrue="1" operator="equal">
      <formula>$G$9</formula>
    </cfRule>
    <cfRule type="cellIs" dxfId="50" priority="12" stopIfTrue="1" operator="equal">
      <formula>$K$9</formula>
    </cfRule>
  </conditionalFormatting>
  <conditionalFormatting sqref="AZ13:AZ137">
    <cfRule type="cellIs" dxfId="49" priority="9" stopIfTrue="1" operator="equal">
      <formula>$C$9</formula>
    </cfRule>
  </conditionalFormatting>
  <conditionalFormatting sqref="E13:E137">
    <cfRule type="cellIs" dxfId="48" priority="8" stopIfTrue="1" operator="equal">
      <formula>$AM13</formula>
    </cfRule>
  </conditionalFormatting>
  <conditionalFormatting sqref="F13:F137">
    <cfRule type="cellIs" dxfId="47" priority="7" stopIfTrue="1" operator="equal">
      <formula>$AN13</formula>
    </cfRule>
  </conditionalFormatting>
  <conditionalFormatting sqref="AL13:AL137 AZ13:AZ137">
    <cfRule type="cellIs" dxfId="46" priority="2" stopIfTrue="1" operator="equal">
      <formula>$S$9</formula>
    </cfRule>
    <cfRule type="cellIs" dxfId="45" priority="3" stopIfTrue="1" operator="equal">
      <formula>$Q$9</formula>
    </cfRule>
    <cfRule type="cellIs" dxfId="44" priority="4" stopIfTrue="1" operator="equal">
      <formula>$O$9</formula>
    </cfRule>
    <cfRule type="cellIs" dxfId="43" priority="5" stopIfTrue="1" operator="equal">
      <formula>$I$9</formula>
    </cfRule>
    <cfRule type="cellIs" dxfId="42" priority="6" stopIfTrue="1" operator="equal">
      <formula>$M$9</formula>
    </cfRule>
    <cfRule type="cellIs" dxfId="41" priority="18" stopIfTrue="1" operator="equal">
      <formula>$C$9</formula>
    </cfRule>
    <cfRule type="cellIs" dxfId="40" priority="42" stopIfTrue="1" operator="equal">
      <formula>$E$9</formula>
    </cfRule>
    <cfRule type="cellIs" dxfId="39" priority="43" stopIfTrue="1" operator="equal">
      <formula>$G$9</formula>
    </cfRule>
    <cfRule type="cellIs" dxfId="38" priority="44" stopIfTrue="1" operator="equal">
      <formula>$K$9</formula>
    </cfRule>
  </conditionalFormatting>
  <conditionalFormatting sqref="I148">
    <cfRule type="cellIs" dxfId="37" priority="1" stopIfTrue="1" operator="equal">
      <formula>0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5"/>
  <sheetViews>
    <sheetView workbookViewId="0">
      <selection activeCell="D18" sqref="D18"/>
    </sheetView>
  </sheetViews>
  <sheetFormatPr baseColWidth="10" defaultColWidth="9.140625" defaultRowHeight="12.75"/>
  <cols>
    <col min="1" max="1" width="11.28515625" customWidth="1"/>
    <col min="2" max="2" width="25.7109375" customWidth="1"/>
    <col min="3" max="3" width="10.140625" customWidth="1"/>
    <col min="4" max="4" width="10.28515625" customWidth="1"/>
    <col min="5" max="5" width="13.7109375" customWidth="1"/>
    <col min="6" max="6" width="11.140625" customWidth="1"/>
    <col min="7" max="17" width="9.140625" customWidth="1"/>
    <col min="18" max="18" width="14.5703125" customWidth="1"/>
    <col min="19" max="19" width="11.28515625" customWidth="1"/>
    <col min="20" max="20" width="8" customWidth="1"/>
    <col min="21" max="21" width="10.5703125" customWidth="1"/>
    <col min="22" max="22" width="9.140625" customWidth="1"/>
    <col min="23" max="23" width="9.5703125" customWidth="1"/>
    <col min="24" max="24" width="9.42578125" customWidth="1"/>
    <col min="25" max="25" width="10.140625" customWidth="1"/>
    <col min="26" max="26" width="10.42578125" customWidth="1"/>
    <col min="27" max="27" width="9.42578125" customWidth="1"/>
    <col min="28" max="28" width="15.28515625" customWidth="1"/>
    <col min="29" max="29" width="16.140625" customWidth="1"/>
    <col min="30" max="30" width="11.5703125" customWidth="1"/>
    <col min="31" max="31" width="9.140625" hidden="1" customWidth="1"/>
    <col min="32" max="32" width="12.7109375" hidden="1" customWidth="1"/>
    <col min="33" max="33" width="13" customWidth="1"/>
    <col min="34" max="35" width="9.140625" customWidth="1"/>
    <col min="36" max="50" width="9.140625" hidden="1" customWidth="1"/>
    <col min="51" max="51" width="13.85546875" hidden="1" customWidth="1"/>
    <col min="52" max="53" width="9.140625" hidden="1" customWidth="1"/>
    <col min="54" max="54" width="12.28515625" hidden="1" customWidth="1"/>
    <col min="55" max="55" width="12.28515625" customWidth="1"/>
    <col min="56" max="57" width="9.140625" hidden="1" customWidth="1"/>
  </cols>
  <sheetData>
    <row r="1" spans="1:61">
      <c r="A1" t="s">
        <v>1</v>
      </c>
    </row>
    <row r="2" spans="1:61">
      <c r="A2" t="s">
        <v>667</v>
      </c>
    </row>
    <row r="3" spans="1:61">
      <c r="A3" t="s">
        <v>668</v>
      </c>
    </row>
    <row r="4" spans="1:61">
      <c r="A4" t="s">
        <v>669</v>
      </c>
      <c r="AC4" s="327"/>
      <c r="AD4" s="327"/>
      <c r="BC4" s="414" t="s">
        <v>670</v>
      </c>
      <c r="BF4" s="414"/>
      <c r="BG4" s="414"/>
      <c r="BH4" s="414"/>
      <c r="BI4" s="414"/>
    </row>
    <row r="5" spans="1:61">
      <c r="A5" t="s">
        <v>671</v>
      </c>
      <c r="AC5" s="327"/>
      <c r="AD5" s="327"/>
    </row>
    <row r="6" spans="1:61" ht="15.75">
      <c r="D6" t="s">
        <v>672</v>
      </c>
      <c r="F6" s="415">
        <v>42177</v>
      </c>
      <c r="AC6" s="613" t="s">
        <v>673</v>
      </c>
      <c r="AD6" s="614"/>
      <c r="AE6" s="613" t="s">
        <v>674</v>
      </c>
      <c r="AF6" s="615"/>
      <c r="AG6" s="615"/>
      <c r="AH6" s="615"/>
      <c r="AI6" s="614"/>
      <c r="AJ6" s="616" t="s">
        <v>421</v>
      </c>
      <c r="AK6" s="617"/>
      <c r="AL6" s="617"/>
      <c r="AM6" s="617"/>
      <c r="AN6" s="617"/>
      <c r="AO6" s="617"/>
      <c r="AP6" s="617"/>
      <c r="AQ6" s="617"/>
      <c r="AR6" s="617"/>
      <c r="AS6" s="617"/>
      <c r="AT6" s="617"/>
      <c r="AU6" s="617"/>
      <c r="AV6" s="617"/>
      <c r="AW6" s="617"/>
      <c r="AX6" s="617"/>
      <c r="AY6" s="617"/>
      <c r="AZ6" s="618"/>
      <c r="BA6" s="613" t="s">
        <v>675</v>
      </c>
      <c r="BB6" s="615"/>
      <c r="BC6" s="615"/>
      <c r="BD6" s="615"/>
      <c r="BE6" s="615"/>
      <c r="BF6" s="615"/>
      <c r="BG6" s="614"/>
      <c r="BH6" s="619" t="s">
        <v>214</v>
      </c>
      <c r="BI6" s="620"/>
    </row>
    <row r="7" spans="1:61" ht="39" thickBot="1">
      <c r="A7" s="416" t="s">
        <v>197</v>
      </c>
      <c r="B7" s="416" t="s">
        <v>676</v>
      </c>
      <c r="C7" s="417" t="s">
        <v>6</v>
      </c>
      <c r="D7" s="417" t="s">
        <v>677</v>
      </c>
      <c r="E7" s="417" t="s">
        <v>678</v>
      </c>
      <c r="F7" s="417" t="s">
        <v>679</v>
      </c>
      <c r="G7" s="418" t="s">
        <v>7</v>
      </c>
      <c r="H7" s="419" t="s">
        <v>8</v>
      </c>
      <c r="I7" s="420" t="s">
        <v>10</v>
      </c>
      <c r="J7" s="421" t="s">
        <v>11</v>
      </c>
      <c r="K7" s="422" t="s">
        <v>12</v>
      </c>
      <c r="L7" s="423" t="s">
        <v>423</v>
      </c>
      <c r="M7" s="424" t="s">
        <v>397</v>
      </c>
      <c r="N7" s="425" t="s">
        <v>680</v>
      </c>
      <c r="O7" s="426" t="s">
        <v>681</v>
      </c>
      <c r="P7" s="427" t="s">
        <v>682</v>
      </c>
      <c r="Q7" s="428" t="s">
        <v>202</v>
      </c>
      <c r="R7" s="419" t="s">
        <v>410</v>
      </c>
      <c r="S7" s="419" t="s">
        <v>683</v>
      </c>
      <c r="T7" s="419" t="s">
        <v>684</v>
      </c>
      <c r="U7" s="419" t="s">
        <v>685</v>
      </c>
      <c r="V7" s="429" t="s">
        <v>686</v>
      </c>
      <c r="W7" s="430" t="s">
        <v>687</v>
      </c>
      <c r="X7" s="431" t="s">
        <v>688</v>
      </c>
      <c r="Y7" s="432" t="s">
        <v>14</v>
      </c>
      <c r="Z7" s="430" t="s">
        <v>15</v>
      </c>
      <c r="AA7" s="430" t="s">
        <v>22</v>
      </c>
      <c r="AB7" s="430" t="s">
        <v>689</v>
      </c>
      <c r="AC7" s="419" t="s">
        <v>410</v>
      </c>
      <c r="AD7" s="429" t="s">
        <v>686</v>
      </c>
      <c r="AE7" s="433" t="s">
        <v>690</v>
      </c>
      <c r="AF7" s="433" t="s">
        <v>691</v>
      </c>
      <c r="AG7" s="73" t="s">
        <v>221</v>
      </c>
      <c r="AH7" s="73" t="s">
        <v>207</v>
      </c>
      <c r="AI7" s="73" t="s">
        <v>217</v>
      </c>
      <c r="AJ7" s="418" t="s">
        <v>7</v>
      </c>
      <c r="AK7" s="419" t="s">
        <v>8</v>
      </c>
      <c r="AL7" s="420" t="s">
        <v>10</v>
      </c>
      <c r="AM7" s="421" t="s">
        <v>11</v>
      </c>
      <c r="AN7" s="422" t="s">
        <v>12</v>
      </c>
      <c r="AO7" s="423" t="s">
        <v>423</v>
      </c>
      <c r="AP7" s="424" t="s">
        <v>397</v>
      </c>
      <c r="AQ7" s="425" t="s">
        <v>680</v>
      </c>
      <c r="AR7" s="426" t="s">
        <v>681</v>
      </c>
      <c r="AS7" s="427" t="s">
        <v>682</v>
      </c>
      <c r="AT7" s="428" t="s">
        <v>202</v>
      </c>
      <c r="AU7" s="430" t="s">
        <v>687</v>
      </c>
      <c r="AV7" s="431" t="s">
        <v>688</v>
      </c>
      <c r="AW7" s="433" t="s">
        <v>426</v>
      </c>
      <c r="AX7" s="433" t="s">
        <v>417</v>
      </c>
      <c r="AY7" s="419" t="s">
        <v>410</v>
      </c>
      <c r="AZ7" s="429" t="s">
        <v>686</v>
      </c>
      <c r="BA7" s="433" t="s">
        <v>690</v>
      </c>
      <c r="BB7" s="433" t="s">
        <v>691</v>
      </c>
      <c r="BC7" s="73" t="s">
        <v>221</v>
      </c>
      <c r="BD7" s="433" t="s">
        <v>692</v>
      </c>
      <c r="BE7" s="433" t="s">
        <v>693</v>
      </c>
      <c r="BF7" s="73" t="s">
        <v>207</v>
      </c>
      <c r="BG7" s="73" t="s">
        <v>217</v>
      </c>
      <c r="BH7" s="73" t="s">
        <v>223</v>
      </c>
      <c r="BI7" s="73" t="s">
        <v>224</v>
      </c>
    </row>
    <row r="8" spans="1:61" ht="13.5" thickTop="1">
      <c r="A8" s="434">
        <v>1</v>
      </c>
      <c r="B8" s="435" t="s">
        <v>25</v>
      </c>
      <c r="C8" s="436">
        <v>43206</v>
      </c>
      <c r="D8" s="434">
        <v>82</v>
      </c>
      <c r="E8" s="434">
        <v>82</v>
      </c>
      <c r="F8" s="437">
        <f>E8/D8</f>
        <v>1</v>
      </c>
      <c r="G8" s="438">
        <v>8617</v>
      </c>
      <c r="H8" s="439">
        <v>10561</v>
      </c>
      <c r="I8" s="439">
        <v>797</v>
      </c>
      <c r="J8" s="439">
        <v>453</v>
      </c>
      <c r="K8" s="439">
        <v>1020</v>
      </c>
      <c r="L8" s="440"/>
      <c r="M8" s="439">
        <v>1473</v>
      </c>
      <c r="N8" s="439">
        <v>510</v>
      </c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39">
        <v>21</v>
      </c>
      <c r="Z8" s="439">
        <v>1209</v>
      </c>
      <c r="AA8" s="441">
        <f>SUM(G8:Z8)</f>
        <v>24661</v>
      </c>
      <c r="AB8" s="442">
        <f>AA8/C8</f>
        <v>0.57077720686941624</v>
      </c>
      <c r="AC8" s="443"/>
      <c r="AD8" s="444"/>
      <c r="AE8" s="445" t="str">
        <f>IF(AJ8=1,$G$7,IF(AK8=1,$H$7,IF(AL8=1,$I$7,IF(AM8=1,$J$7,IF(AN8=1,$K$7,IF(AO8=1,$L$7,IF(AP8=1,$M$7,IF(AQ8=1,$N$7,"otro"))))))))</f>
        <v>PRI</v>
      </c>
      <c r="AF8" s="446" t="str">
        <f>IF(AR8=1,$O$7,IF(AS8=1,$P$7,IF(AT8=1,$Q$7,IF(AU8=1,$W$7,IF(AV8=1,$X$7,IF(AX8=1,$Z$7,IF(AY8=1,$AC$7,IF(AZ8=1,$AD$7,"ninguno"))))))))</f>
        <v>ninguno</v>
      </c>
      <c r="AG8" s="447" t="str">
        <f>IF(AE8="otro",IF(AF8="ninguno","nada",AF8),AE8)</f>
        <v>PRI</v>
      </c>
      <c r="AH8" s="448">
        <f>MAX(G8:Z8,AC8,AD8)</f>
        <v>10561</v>
      </c>
      <c r="AI8" s="449">
        <f>AH8/AA8</f>
        <v>0.42824702972304446</v>
      </c>
      <c r="AJ8" s="450">
        <f>RANK(G8,($G8,$H8,$I8,$J8,$K8,$L8,$M8,$N8,$O8,$P8,$Q8,$W8,$X8,$Y8,$Z8))</f>
        <v>2</v>
      </c>
      <c r="AK8" s="451">
        <f>RANK(H8,($G8,$H8,$I8,$J8,$K8,$L8,$M8,$N8,$O8,$P8,$Q8,$W8,$X8,$Y8,$Z8))</f>
        <v>1</v>
      </c>
      <c r="AL8" s="451">
        <f>RANK(I8,($G8,$H8,$I8,$J8,$K8,$L8,$M8,$N8,$O8,$P8,$Q8,$W8,$X8,$Y8,$Z8))</f>
        <v>6</v>
      </c>
      <c r="AM8" s="451">
        <f>RANK(J8,($G8,$H8,$I8,$J8,$K8,$L8,$M8,$N8,$O8,$P8,$Q8,$W8,$X8,$Y8,$Z8))</f>
        <v>8</v>
      </c>
      <c r="AN8" s="451">
        <f>RANK(K8,($G8,$H8,$I8,$J8,$K8,$L8,$M8,$N8,$O8,$P8,$Q8,$W8,$X8,$Y8,$Z8))</f>
        <v>5</v>
      </c>
      <c r="AO8" s="440"/>
      <c r="AP8" s="451">
        <f>RANK(M8,($G8,$H8,$I8,$J8,$K8,$L8,$M8,$N8,$O8,$P8,$Q8,$W8,$X8,$Y8,$Z8))</f>
        <v>3</v>
      </c>
      <c r="AQ8" s="451">
        <f>RANK(N8,($G8,$H8,$I8,$J8,$K8,$L8,$M8,$N8,$O8,$P8,$Q8,$W8,$X8,$Y8,$Z8))</f>
        <v>7</v>
      </c>
      <c r="AR8" s="440"/>
      <c r="AS8" s="440"/>
      <c r="AT8" s="440"/>
      <c r="AU8" s="440"/>
      <c r="AV8" s="440"/>
      <c r="AW8" s="451">
        <f>RANK(Y8,($G8,$H8,$I8,$J8,$K8,$L8,$M8,$N8,$O8,$P8,$Q8,$W8,$X8,$Y8,$Z8))</f>
        <v>9</v>
      </c>
      <c r="AX8" s="451">
        <f>RANK(Z8,($G8,$H8,$I8,$J8,$K8,$L8,$M8,$N8,$O8,$P8,$Q8,$W8,$X8,$Y8,$Z8))</f>
        <v>4</v>
      </c>
      <c r="AY8" s="452"/>
      <c r="AZ8" s="444"/>
      <c r="BA8" s="445" t="str">
        <f>IF(AJ8=2,$G$7,IF(AK8=2,$H$7,IF(AL8=2,$I$7,IF(AM8=2,$J$7,IF(AN8=2,$K$7,IF(AO8=2,$L$7,IF(AP8=2,$M$7,IF(AQ8=2,$N$7,"otro"))))))))</f>
        <v>PAN</v>
      </c>
      <c r="BB8" s="447" t="str">
        <f>IF(AR8=2,$O$7,IF(AS8=2,$P$7,IF(AT8=2,$Q$7,IF(AU8=2,$W$7,IF(AV8=2,$X$7,IF(AX8=2,$Z$7,IF(AY8=2,$AC$7,IF(AZ8=2,$AD$7,"ninguno"))))))))</f>
        <v>ninguno</v>
      </c>
      <c r="BC8" s="447" t="str">
        <f>IF(BA8="otro",IF(BB8="ninguno","nada",BB8),BA8)</f>
        <v>PAN</v>
      </c>
      <c r="BD8" s="448">
        <f>IF(AJ8=2,G8,IF(AK8=2,H8,IF(AL8=2,I8,IF(AM8=2,J8,IF(AN8=2,K8,IF(AO8=2,L8,IF(AP8=2,M8,IF(AQ8=2,N8,"otro"))))))))</f>
        <v>8617</v>
      </c>
      <c r="BE8" s="448" t="str">
        <f>IF(AR8=2,O8,IF(AS8=2,P8,IF(AT8=2,Q8,IF(AU8=2,W8,IF(AV8=2,X8,IF(AX8=2,Z8,IF(AY8=2,AC8,IF(AZ8=2,AD8,"ninguno"))))))))</f>
        <v>ninguno</v>
      </c>
      <c r="BF8" s="448">
        <f>IF(BD8="otro",IF(BE8="ninguno","nada",BE8),BD8)</f>
        <v>8617</v>
      </c>
      <c r="BG8" s="453">
        <f>BF8/AA8</f>
        <v>0.34941810956571107</v>
      </c>
      <c r="BH8" s="454">
        <f>AH8-BF8</f>
        <v>1944</v>
      </c>
      <c r="BI8" s="453">
        <f>AI8-BG8</f>
        <v>7.8828920157333393E-2</v>
      </c>
    </row>
    <row r="9" spans="1:61">
      <c r="A9" s="434">
        <v>2</v>
      </c>
      <c r="B9" s="435" t="s">
        <v>27</v>
      </c>
      <c r="C9" s="436">
        <v>72755</v>
      </c>
      <c r="D9" s="434">
        <v>114</v>
      </c>
      <c r="E9" s="434">
        <v>114</v>
      </c>
      <c r="F9" s="437">
        <f t="shared" ref="F9:F72" si="0">E9/D9</f>
        <v>1</v>
      </c>
      <c r="G9" s="455">
        <v>1127</v>
      </c>
      <c r="H9" s="456">
        <v>19657</v>
      </c>
      <c r="I9" s="456">
        <v>7030</v>
      </c>
      <c r="J9" s="456">
        <v>1282</v>
      </c>
      <c r="K9" s="456">
        <v>710</v>
      </c>
      <c r="L9" s="456">
        <v>771</v>
      </c>
      <c r="M9" s="456">
        <v>582</v>
      </c>
      <c r="N9" s="456">
        <v>2656</v>
      </c>
      <c r="O9" s="456">
        <v>700</v>
      </c>
      <c r="P9" s="456">
        <v>2049</v>
      </c>
      <c r="Q9" s="457"/>
      <c r="R9" s="456">
        <v>45</v>
      </c>
      <c r="S9" s="456">
        <v>146</v>
      </c>
      <c r="T9" s="456">
        <v>7</v>
      </c>
      <c r="U9" s="456">
        <v>3</v>
      </c>
      <c r="V9" s="457"/>
      <c r="W9" s="456">
        <v>2644</v>
      </c>
      <c r="X9" s="457"/>
      <c r="Y9" s="456">
        <v>138</v>
      </c>
      <c r="Z9" s="456">
        <v>1100</v>
      </c>
      <c r="AA9" s="458">
        <f t="shared" ref="AA9:AA72" si="1">SUM(G9:Z9)</f>
        <v>40647</v>
      </c>
      <c r="AB9" s="459">
        <f t="shared" ref="AB9:AB72" si="2">AA9/C9</f>
        <v>0.55868325201017111</v>
      </c>
      <c r="AC9" s="455">
        <f t="shared" ref="AC9:AC71" si="3">H9+K9+M9+SUM(R9:U9)</f>
        <v>21150</v>
      </c>
      <c r="AD9" s="460"/>
      <c r="AE9" s="461" t="str">
        <f t="shared" ref="AE9:AE72" si="4">IF(AJ9=1,$G$7,IF(AK9=1,$H$7,IF(AL9=1,$I$7,IF(AM9=1,$J$7,IF(AN9=1,$K$7,IF(AO9=1,$L$7,IF(AP9=1,$M$7,IF(AQ9=1,$N$7,"otro"))))))))</f>
        <v>otro</v>
      </c>
      <c r="AF9" s="462" t="str">
        <f t="shared" ref="AF9:AF72" si="5">IF(AR9=1,$O$7,IF(AS9=1,$P$7,IF(AT9=1,$Q$7,IF(AU9=1,$W$7,IF(AV9=1,$X$7,IF(AX9=1,$Z$7,IF(AY9=1,$AC$7,IF(AZ9=1,$AD$7,"ninguno"))))))))</f>
        <v>PRI-PVEM-NA</v>
      </c>
      <c r="AG9" s="124" t="str">
        <f t="shared" ref="AG9:AG72" si="6">IF(AE9="otro",IF(AF9="ninguno","nada",AF9),AE9)</f>
        <v>PRI-PVEM-NA</v>
      </c>
      <c r="AH9" s="119">
        <f t="shared" ref="AH9:AH72" si="7">MAX(G9:Z9,AC9,AD9)</f>
        <v>21150</v>
      </c>
      <c r="AI9" s="463">
        <f t="shared" ref="AI9:AI72" si="8">AH9/AA9</f>
        <v>0.52033360395601147</v>
      </c>
      <c r="AJ9" s="464">
        <f>RANK(G9,($G9,$I9,$J9,$L9,$N9,$O9,$P9,$Q9,$W9,$X9,$Y9,$Z9,$AC9))</f>
        <v>7</v>
      </c>
      <c r="AK9" s="465"/>
      <c r="AL9" s="466">
        <f>RANK(I9,($G9,$I9,$J9,$L9,$N9,$O9,$P9,$Q9,$W9,$X9,$Y9,$Z9,$AC9))</f>
        <v>2</v>
      </c>
      <c r="AM9" s="466">
        <f>RANK(J9,($G9,$I9,$J9,$L9,$N9,$O9,$P9,$Q9,$W9,$X9,$Y9,$Z9,$AC9))</f>
        <v>6</v>
      </c>
      <c r="AN9" s="457"/>
      <c r="AO9" s="466">
        <f>RANK(L9,($G9,$I9,$J9,$L9,$N9,$O9,$P9,$Q9,$W9,$X9,$Y9,$Z9,$AC9))</f>
        <v>9</v>
      </c>
      <c r="AP9" s="457"/>
      <c r="AQ9" s="466">
        <f>RANK(N9,($G9,$I9,$J9,$L9,$N9,$O9,$P9,$Q9,$W9,$X9,$Y9,$Z9,$AC9))</f>
        <v>3</v>
      </c>
      <c r="AR9" s="466">
        <f>RANK(O9,($G9,$I9,$J9,$L9,$N9,$O9,$P9,$Q9,$W9,$X9,$Y9,$Z9,$AC9))</f>
        <v>10</v>
      </c>
      <c r="AS9" s="466">
        <f>RANK(P9,($G9,$I9,$J9,$L9,$N9,$O9,$P9,$Q9,$W9,$X9,$Y9,$Z9,$AC9))</f>
        <v>5</v>
      </c>
      <c r="AT9" s="457"/>
      <c r="AU9" s="466">
        <f>RANK(W9,($G9,$I9,$J9,$L9,$N9,$O9,$P9,$Q9,$W9,$X9,$Y9,$Z9,$AC9))</f>
        <v>4</v>
      </c>
      <c r="AV9" s="457"/>
      <c r="AW9" s="466">
        <f>RANK(Y9,($G9,$I9,$J9,$L9,$N9,$O9,$P9,$Q9,$W9,$X9,$Y9,$Z9,$AC9))</f>
        <v>11</v>
      </c>
      <c r="AX9" s="466">
        <f>RANK(Z9,($G9,$I9,$J9,$L9,$N9,$O9,$P9,$Q9,$W9,$X9,$Y9,$Z9,$AC9))</f>
        <v>8</v>
      </c>
      <c r="AY9" s="466">
        <f>RANK(AC9,($G9,$I9,$J9,$L9,$N9,$O9,$P9,$Q9,$W9,$X9,$Y9,$Z9,$AC9))</f>
        <v>1</v>
      </c>
      <c r="AZ9" s="460"/>
      <c r="BA9" s="461" t="str">
        <f t="shared" ref="BA9:BA72" si="9">IF(AJ9=2,$G$7,IF(AK9=2,$H$7,IF(AL9=2,$I$7,IF(AM9=2,$J$7,IF(AN9=2,$K$7,IF(AO9=2,$L$7,IF(AP9=2,$M$7,IF(AQ9=2,$N$7,"otro"))))))))</f>
        <v>PRD</v>
      </c>
      <c r="BB9" s="124" t="str">
        <f t="shared" ref="BB9:BB72" si="10">IF(AR9=2,$O$7,IF(AS9=2,$P$7,IF(AT9=2,$Q$7,IF(AU9=2,$W$7,IF(AV9=2,$X$7,IF(AX9=2,$Z$7,IF(AY9=2,$AC$7,IF(AZ9=2,$AD$7,"ninguno"))))))))</f>
        <v>ninguno</v>
      </c>
      <c r="BC9" s="124" t="str">
        <f t="shared" ref="BC9:BC72" si="11">IF(BA9="otro",IF(BB9="ninguno","nada",BB9),BA9)</f>
        <v>PRD</v>
      </c>
      <c r="BD9" s="119">
        <f t="shared" ref="BD9:BD72" si="12">IF(AJ9=2,G9,IF(AK9=2,H9,IF(AL9=2,I9,IF(AM9=2,J9,IF(AN9=2,K9,IF(AO9=2,L9,IF(AP9=2,M9,IF(AQ9=2,N9,"otro"))))))))</f>
        <v>7030</v>
      </c>
      <c r="BE9" s="119" t="str">
        <f t="shared" ref="BE9:BE72" si="13">IF(AR9=2,O9,IF(AS9=2,P9,IF(AT9=2,Q9,IF(AU9=2,W9,IF(AV9=2,X9,IF(AX9=2,Z9,IF(AY9=2,AC9,IF(AZ9=2,AD9,"ninguno"))))))))</f>
        <v>ninguno</v>
      </c>
      <c r="BF9" s="119">
        <f t="shared" ref="BF9:BF72" si="14">IF(BD9="otro",IF(BE9="ninguno","nada",BE9),BD9)</f>
        <v>7030</v>
      </c>
      <c r="BG9" s="467">
        <f t="shared" ref="BG9:BG72" si="15">BF9/AA9</f>
        <v>0.1729524934189485</v>
      </c>
      <c r="BH9" s="468">
        <f t="shared" ref="BH9:BI72" si="16">AH9-BF9</f>
        <v>14120</v>
      </c>
      <c r="BI9" s="467">
        <f t="shared" si="16"/>
        <v>0.347381110537063</v>
      </c>
    </row>
    <row r="10" spans="1:61">
      <c r="A10" s="434">
        <v>3</v>
      </c>
      <c r="B10" s="435" t="s">
        <v>571</v>
      </c>
      <c r="C10" s="436">
        <v>30662</v>
      </c>
      <c r="D10" s="434">
        <v>57</v>
      </c>
      <c r="E10" s="434">
        <v>57</v>
      </c>
      <c r="F10" s="469">
        <f t="shared" si="0"/>
        <v>1</v>
      </c>
      <c r="G10" s="455">
        <v>2018</v>
      </c>
      <c r="H10" s="456">
        <v>11156</v>
      </c>
      <c r="I10" s="456">
        <v>2841</v>
      </c>
      <c r="J10" s="456">
        <v>477</v>
      </c>
      <c r="K10" s="456">
        <v>379</v>
      </c>
      <c r="L10" s="457"/>
      <c r="M10" s="456">
        <v>804</v>
      </c>
      <c r="N10" s="456">
        <v>1035</v>
      </c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6">
        <v>14</v>
      </c>
      <c r="Z10" s="456">
        <v>968</v>
      </c>
      <c r="AA10" s="458">
        <f t="shared" si="1"/>
        <v>19692</v>
      </c>
      <c r="AB10" s="459">
        <f t="shared" si="2"/>
        <v>0.64222816515556713</v>
      </c>
      <c r="AC10" s="470"/>
      <c r="AD10" s="460"/>
      <c r="AE10" s="461" t="str">
        <f t="shared" si="4"/>
        <v>PRI</v>
      </c>
      <c r="AF10" s="462" t="str">
        <f t="shared" si="5"/>
        <v>ninguno</v>
      </c>
      <c r="AG10" s="124" t="str">
        <f t="shared" si="6"/>
        <v>PRI</v>
      </c>
      <c r="AH10" s="119">
        <f t="shared" si="7"/>
        <v>11156</v>
      </c>
      <c r="AI10" s="463">
        <f t="shared" si="8"/>
        <v>0.56652447694495223</v>
      </c>
      <c r="AJ10" s="464">
        <f>RANK(G10,($G10,$H10,$I10,$J10,$K10,$L10,$M10,$N10,$O10,$P10,$Q10,$W10,$X10,$Y10,$Z10))</f>
        <v>3</v>
      </c>
      <c r="AK10" s="466">
        <f>RANK(H10,($G10,$H10,$I10,$J10,$K10,$L10,$M10,$N10,$O10,$P10,$Q10,$W10,$X10,$Y10,$Z10))</f>
        <v>1</v>
      </c>
      <c r="AL10" s="466">
        <f>RANK(I10,($G10,$H10,$I10,$J10,$K10,$L10,$M10,$N10,$O10,$P10,$Q10,$W10,$X10,$Y10,$Z10))</f>
        <v>2</v>
      </c>
      <c r="AM10" s="466">
        <f>RANK(J10,($G10,$H10,$I10,$J10,$K10,$L10,$M10,$N10,$O10,$P10,$Q10,$W10,$X10,$Y10,$Z10))</f>
        <v>7</v>
      </c>
      <c r="AN10" s="466">
        <f>RANK(K10,($G10,$H10,$I10,$J10,$K10,$L10,$M10,$N10,$O10,$P10,$Q10,$W10,$X10,$Y10,$Z10))</f>
        <v>8</v>
      </c>
      <c r="AO10" s="457"/>
      <c r="AP10" s="466">
        <f>RANK(M10,($G10,$H10,$I10,$J10,$K10,$L10,$M10,$N10,$O10,$P10,$Q10,$W10,$X10,$Y10,$Z10))</f>
        <v>6</v>
      </c>
      <c r="AQ10" s="466">
        <f>RANK(N10,($G10,$H10,$I10,$J10,$K10,$L10,$M10,$N10,$O10,$P10,$Q10,$W10,$X10,$Y10,$Z10))</f>
        <v>4</v>
      </c>
      <c r="AR10" s="457"/>
      <c r="AS10" s="457"/>
      <c r="AT10" s="457"/>
      <c r="AU10" s="457"/>
      <c r="AV10" s="457"/>
      <c r="AW10" s="466">
        <f>RANK(Y10,($G10,$H10,$I10,$J10,$K10,$L10,$M10,$N10,$O10,$P10,$Q10,$W10,$X10,$Y10,$Z10))</f>
        <v>9</v>
      </c>
      <c r="AX10" s="466">
        <f>RANK(Z10,($G10,$H10,$I10,$J10,$K10,$L10,$M10,$N10,$O10,$P10,$Q10,$W10,$X10,$Y10,$Z10))</f>
        <v>5</v>
      </c>
      <c r="AY10" s="465"/>
      <c r="AZ10" s="460"/>
      <c r="BA10" s="461" t="str">
        <f t="shared" si="9"/>
        <v>PRD</v>
      </c>
      <c r="BB10" s="124" t="str">
        <f t="shared" si="10"/>
        <v>ninguno</v>
      </c>
      <c r="BC10" s="124" t="str">
        <f t="shared" si="11"/>
        <v>PRD</v>
      </c>
      <c r="BD10" s="119">
        <f t="shared" si="12"/>
        <v>2841</v>
      </c>
      <c r="BE10" s="119" t="str">
        <f t="shared" si="13"/>
        <v>ninguno</v>
      </c>
      <c r="BF10" s="119">
        <f t="shared" si="14"/>
        <v>2841</v>
      </c>
      <c r="BG10" s="467">
        <f t="shared" si="15"/>
        <v>0.14427178549664837</v>
      </c>
      <c r="BH10" s="468">
        <f t="shared" si="16"/>
        <v>8315</v>
      </c>
      <c r="BI10" s="467">
        <f t="shared" si="16"/>
        <v>0.42225269144830385</v>
      </c>
    </row>
    <row r="11" spans="1:61" ht="25.5">
      <c r="A11" s="434">
        <v>4</v>
      </c>
      <c r="B11" s="435" t="s">
        <v>29</v>
      </c>
      <c r="C11" s="436">
        <v>11259</v>
      </c>
      <c r="D11" s="434">
        <v>23</v>
      </c>
      <c r="E11" s="434">
        <v>23</v>
      </c>
      <c r="F11" s="437">
        <f t="shared" si="0"/>
        <v>1</v>
      </c>
      <c r="G11" s="455">
        <v>3940</v>
      </c>
      <c r="H11" s="456">
        <v>4095</v>
      </c>
      <c r="I11" s="456">
        <v>52</v>
      </c>
      <c r="J11" s="456">
        <v>221</v>
      </c>
      <c r="K11" s="456">
        <v>33</v>
      </c>
      <c r="L11" s="456">
        <v>29</v>
      </c>
      <c r="M11" s="456">
        <v>24</v>
      </c>
      <c r="N11" s="456">
        <v>38</v>
      </c>
      <c r="O11" s="456">
        <v>116</v>
      </c>
      <c r="P11" s="465"/>
      <c r="Q11" s="456">
        <v>29</v>
      </c>
      <c r="R11" s="456">
        <v>66</v>
      </c>
      <c r="S11" s="456">
        <v>44</v>
      </c>
      <c r="T11" s="456">
        <v>4</v>
      </c>
      <c r="U11" s="456">
        <v>0</v>
      </c>
      <c r="V11" s="457"/>
      <c r="W11" s="457"/>
      <c r="X11" s="457"/>
      <c r="Y11" s="456">
        <v>0</v>
      </c>
      <c r="Z11" s="456">
        <v>133</v>
      </c>
      <c r="AA11" s="458">
        <f t="shared" si="1"/>
        <v>8824</v>
      </c>
      <c r="AB11" s="459">
        <f t="shared" si="2"/>
        <v>0.7837285726973976</v>
      </c>
      <c r="AC11" s="455">
        <f t="shared" si="3"/>
        <v>4266</v>
      </c>
      <c r="AD11" s="460"/>
      <c r="AE11" s="461" t="str">
        <f t="shared" si="4"/>
        <v>otro</v>
      </c>
      <c r="AF11" s="462" t="str">
        <f t="shared" si="5"/>
        <v>PRI-PVEM-NA</v>
      </c>
      <c r="AG11" s="124" t="str">
        <f t="shared" si="6"/>
        <v>PRI-PVEM-NA</v>
      </c>
      <c r="AH11" s="119">
        <f t="shared" si="7"/>
        <v>4266</v>
      </c>
      <c r="AI11" s="463">
        <f t="shared" si="8"/>
        <v>0.48345421577515868</v>
      </c>
      <c r="AJ11" s="464">
        <f>RANK(G11,($G11,$I11,$J11,$L11,$N11,$O11,$P11,$Q11,$W11,$X11,$Y11,$Z11,$AC11))</f>
        <v>2</v>
      </c>
      <c r="AK11" s="465"/>
      <c r="AL11" s="466">
        <f>RANK(I11,($G11,$I11,$J11,$L11,$N11,$O11,$P11,$Q11,$W11,$X11,$Y11,$Z11,$AC11))</f>
        <v>6</v>
      </c>
      <c r="AM11" s="466">
        <f>RANK(J11,($G11,$I11,$J11,$L11,$N11,$O11,$P11,$Q11,$W11,$X11,$Y11,$Z11,$AC11))</f>
        <v>3</v>
      </c>
      <c r="AN11" s="457"/>
      <c r="AO11" s="466">
        <f>RANK(L11,($G11,$I11,$J11,$L11,$N11,$O11,$P11,$Q11,$W11,$X11,$Y11,$Z11,$AC11))</f>
        <v>8</v>
      </c>
      <c r="AP11" s="457"/>
      <c r="AQ11" s="466">
        <f>RANK(N11,($G11,$I11,$J11,$L11,$N11,$O11,$P11,$Q11,$W11,$X11,$Y11,$Z11,$AC11))</f>
        <v>7</v>
      </c>
      <c r="AR11" s="466">
        <f>RANK(O11,($G11,$I11,$J11,$L11,$N11,$O11,$P11,$Q11,$W11,$X11,$Y11,$Z11,$AC11))</f>
        <v>5</v>
      </c>
      <c r="AS11" s="457"/>
      <c r="AT11" s="466">
        <f>RANK(Q11,($G11,$I11,$J11,$L11,$N11,$O11,$P11,$Q11,$W11,$X11,$Y11,$Z11,$AC11))</f>
        <v>8</v>
      </c>
      <c r="AU11" s="457"/>
      <c r="AV11" s="457"/>
      <c r="AW11" s="466">
        <f>RANK(Y11,($G11,$I11,$J11,$L11,$N11,$O11,$P11,$Q11,$W11,$X11,$Y11,$Z11,$AC11))</f>
        <v>10</v>
      </c>
      <c r="AX11" s="466">
        <f>RANK(Z11,($G11,$I11,$J11,$L11,$N11,$O11,$P11,$Q11,$W11,$X11,$Y11,$Z11,$AC11))</f>
        <v>4</v>
      </c>
      <c r="AY11" s="466">
        <f>RANK(AC11,($G11,$I11,$J11,$L11,$N11,$O11,$P11,$Q11,$W11,$X11,$Y11,$Z11,$AC11))</f>
        <v>1</v>
      </c>
      <c r="AZ11" s="460"/>
      <c r="BA11" s="461" t="str">
        <f t="shared" si="9"/>
        <v>PAN</v>
      </c>
      <c r="BB11" s="124" t="str">
        <f t="shared" si="10"/>
        <v>ninguno</v>
      </c>
      <c r="BC11" s="124" t="str">
        <f t="shared" si="11"/>
        <v>PAN</v>
      </c>
      <c r="BD11" s="119">
        <f t="shared" si="12"/>
        <v>3940</v>
      </c>
      <c r="BE11" s="119" t="str">
        <f t="shared" si="13"/>
        <v>ninguno</v>
      </c>
      <c r="BF11" s="119">
        <f t="shared" si="14"/>
        <v>3940</v>
      </c>
      <c r="BG11" s="467">
        <f t="shared" si="15"/>
        <v>0.44650951949229373</v>
      </c>
      <c r="BH11" s="468">
        <f t="shared" si="16"/>
        <v>326</v>
      </c>
      <c r="BI11" s="467">
        <f t="shared" si="16"/>
        <v>3.6944696282864953E-2</v>
      </c>
    </row>
    <row r="12" spans="1:61">
      <c r="A12" s="434">
        <v>5</v>
      </c>
      <c r="B12" s="435" t="s">
        <v>658</v>
      </c>
      <c r="C12" s="436">
        <v>103614</v>
      </c>
      <c r="D12" s="434">
        <v>171</v>
      </c>
      <c r="E12" s="434">
        <v>171</v>
      </c>
      <c r="F12" s="437">
        <f t="shared" si="0"/>
        <v>1</v>
      </c>
      <c r="G12" s="455">
        <v>6506</v>
      </c>
      <c r="H12" s="456">
        <v>18909</v>
      </c>
      <c r="I12" s="456">
        <v>7995</v>
      </c>
      <c r="J12" s="456">
        <v>7023</v>
      </c>
      <c r="K12" s="456">
        <v>3251</v>
      </c>
      <c r="L12" s="456">
        <v>2380</v>
      </c>
      <c r="M12" s="456">
        <v>2682</v>
      </c>
      <c r="N12" s="456">
        <v>1772</v>
      </c>
      <c r="O12" s="456">
        <v>2599</v>
      </c>
      <c r="P12" s="456">
        <v>1586</v>
      </c>
      <c r="Q12" s="456">
        <v>232</v>
      </c>
      <c r="R12" s="465"/>
      <c r="S12" s="465"/>
      <c r="T12" s="465"/>
      <c r="U12" s="465"/>
      <c r="V12" s="457"/>
      <c r="W12" s="457"/>
      <c r="X12" s="457"/>
      <c r="Y12" s="456">
        <v>34</v>
      </c>
      <c r="Z12" s="456">
        <v>2516</v>
      </c>
      <c r="AA12" s="458">
        <f t="shared" si="1"/>
        <v>57485</v>
      </c>
      <c r="AB12" s="459">
        <f t="shared" si="2"/>
        <v>0.55479954446310342</v>
      </c>
      <c r="AC12" s="470"/>
      <c r="AD12" s="460"/>
      <c r="AE12" s="461" t="str">
        <f t="shared" si="4"/>
        <v>PRI</v>
      </c>
      <c r="AF12" s="462" t="str">
        <f t="shared" si="5"/>
        <v>ninguno</v>
      </c>
      <c r="AG12" s="124" t="str">
        <f t="shared" si="6"/>
        <v>PRI</v>
      </c>
      <c r="AH12" s="119">
        <f t="shared" si="7"/>
        <v>18909</v>
      </c>
      <c r="AI12" s="463">
        <f t="shared" si="8"/>
        <v>0.32893798382186656</v>
      </c>
      <c r="AJ12" s="464">
        <f>RANK(G12,($G12,$H12,$I12,$J12,$K12,$L12,$M12,$N12,$O12,$P12,$Q12,$W12,$X12,$Y12,$Z12))</f>
        <v>4</v>
      </c>
      <c r="AK12" s="466">
        <f>RANK(H12,($G12,$H12,$I12,$J12,$K12,$L12,$M12,$N12,$O12,$P12,$Q12,$W12,$X12,$Y12,$Z12))</f>
        <v>1</v>
      </c>
      <c r="AL12" s="466">
        <f>RANK(I12,($G12,$H12,$I12,$J12,$K12,$L12,$M12,$N12,$O12,$P12,$Q12,$W12,$X12,$Y12,$Z12))</f>
        <v>2</v>
      </c>
      <c r="AM12" s="466">
        <f>RANK(J12,($G12,$H12,$I12,$J12,$K12,$L12,$M12,$N12,$O12,$P12,$Q12,$W12,$X12,$Y12,$Z12))</f>
        <v>3</v>
      </c>
      <c r="AN12" s="466">
        <f>RANK(K12,($G12,$H12,$I12,$J12,$K12,$L12,$M12,$N12,$O12,$P12,$Q12,$W12,$X12,$Y12,$Z12))</f>
        <v>5</v>
      </c>
      <c r="AO12" s="466">
        <f>RANK(L12,($G12,$H12,$I12,$J12,$K12,$L12,$M12,$N12,$O12,$P12,$Q12,$W12,$X12,$Y12,$Z12))</f>
        <v>9</v>
      </c>
      <c r="AP12" s="466">
        <f>RANK(M12,($G12,$H12,$I12,$J12,$K12,$L12,$M12,$N12,$O12,$P12,$Q12,$W12,$X12,$Y12,$Z12))</f>
        <v>6</v>
      </c>
      <c r="AQ12" s="466">
        <f>RANK(N12,($G12,$H12,$I12,$J12,$K12,$L12,$M12,$N12,$O12,$P12,$Q12,$W12,$X12,$Y12,$Z12))</f>
        <v>10</v>
      </c>
      <c r="AR12" s="466">
        <f>RANK(O12,($G12,$H12,$I12,$J12,$K12,$L12,$M12,$N12,$O12,$P12,$Q12,$W12,$X12,$Y12,$Z12))</f>
        <v>7</v>
      </c>
      <c r="AS12" s="466">
        <f>RANK(P12,($G12,$H12,$I12,$J12,$K12,$L12,$M12,$N12,$O12,$P12,$Q12,$W12,$X12,$Y12,$Z12))</f>
        <v>11</v>
      </c>
      <c r="AT12" s="466">
        <f>RANK(Q12,($G12,$H12,$I12,$J12,$K12,$L12,$M12,$N12,$O12,$P12,$Q12,$W12,$X12,$Y12,$Z12))</f>
        <v>12</v>
      </c>
      <c r="AU12" s="457"/>
      <c r="AV12" s="457"/>
      <c r="AW12" s="466">
        <f>RANK(Y12,($G12,$H12,$I12,$J12,$K12,$L12,$M12,$N12,$O12,$P12,$Q12,$W12,$X12,$Y12,$Z12))</f>
        <v>13</v>
      </c>
      <c r="AX12" s="466">
        <f>RANK(Z12,($G12,$H12,$I12,$J12,$K12,$L12,$M12,$N12,$O12,$P12,$Q12,$W12,$X12,$Y12,$Z12))</f>
        <v>8</v>
      </c>
      <c r="AY12" s="465"/>
      <c r="AZ12" s="460"/>
      <c r="BA12" s="461" t="str">
        <f t="shared" si="9"/>
        <v>PRD</v>
      </c>
      <c r="BB12" s="124" t="str">
        <f t="shared" si="10"/>
        <v>ninguno</v>
      </c>
      <c r="BC12" s="124" t="str">
        <f t="shared" si="11"/>
        <v>PRD</v>
      </c>
      <c r="BD12" s="119">
        <f t="shared" si="12"/>
        <v>7995</v>
      </c>
      <c r="BE12" s="119" t="str">
        <f t="shared" si="13"/>
        <v>ninguno</v>
      </c>
      <c r="BF12" s="119">
        <f t="shared" si="14"/>
        <v>7995</v>
      </c>
      <c r="BG12" s="467">
        <f t="shared" si="15"/>
        <v>0.13907975993737498</v>
      </c>
      <c r="BH12" s="468">
        <f t="shared" si="16"/>
        <v>10914</v>
      </c>
      <c r="BI12" s="467">
        <f t="shared" si="16"/>
        <v>0.18985822388449158</v>
      </c>
    </row>
    <row r="13" spans="1:61">
      <c r="A13" s="434">
        <v>6</v>
      </c>
      <c r="B13" s="435" t="s">
        <v>32</v>
      </c>
      <c r="C13" s="436">
        <v>7737</v>
      </c>
      <c r="D13" s="434">
        <v>13</v>
      </c>
      <c r="E13" s="434">
        <v>13</v>
      </c>
      <c r="F13" s="437">
        <f t="shared" si="0"/>
        <v>1</v>
      </c>
      <c r="G13" s="455">
        <v>912</v>
      </c>
      <c r="H13" s="456">
        <v>1621</v>
      </c>
      <c r="I13" s="456">
        <v>1423</v>
      </c>
      <c r="J13" s="456">
        <v>220</v>
      </c>
      <c r="K13" s="456">
        <v>42</v>
      </c>
      <c r="L13" s="457"/>
      <c r="M13" s="456">
        <v>54</v>
      </c>
      <c r="N13" s="456">
        <v>129</v>
      </c>
      <c r="O13" s="465"/>
      <c r="P13" s="456">
        <v>827</v>
      </c>
      <c r="Q13" s="465"/>
      <c r="R13" s="456">
        <v>3</v>
      </c>
      <c r="S13" s="456">
        <v>5</v>
      </c>
      <c r="T13" s="456">
        <v>6</v>
      </c>
      <c r="U13" s="456">
        <v>0</v>
      </c>
      <c r="V13" s="456">
        <v>16</v>
      </c>
      <c r="W13" s="457"/>
      <c r="X13" s="457"/>
      <c r="Y13" s="456">
        <v>6</v>
      </c>
      <c r="Z13" s="456">
        <v>157</v>
      </c>
      <c r="AA13" s="458">
        <f t="shared" si="1"/>
        <v>5421</v>
      </c>
      <c r="AB13" s="459">
        <f t="shared" si="2"/>
        <v>0.70065917022101587</v>
      </c>
      <c r="AC13" s="455">
        <f t="shared" si="3"/>
        <v>1731</v>
      </c>
      <c r="AD13" s="458">
        <f>G13+J13+V13</f>
        <v>1148</v>
      </c>
      <c r="AE13" s="461" t="str">
        <f t="shared" si="4"/>
        <v>otro</v>
      </c>
      <c r="AF13" s="462" t="str">
        <f t="shared" si="5"/>
        <v>PRI-PVEM-NA</v>
      </c>
      <c r="AG13" s="124" t="str">
        <f t="shared" si="6"/>
        <v>PRI-PVEM-NA</v>
      </c>
      <c r="AH13" s="119">
        <f t="shared" si="7"/>
        <v>1731</v>
      </c>
      <c r="AI13" s="463">
        <f t="shared" si="8"/>
        <v>0.3193137797454344</v>
      </c>
      <c r="AJ13" s="470"/>
      <c r="AK13" s="465"/>
      <c r="AL13" s="466">
        <f>RANK(I13,($I13,$L13,$N13,$O13,$P13,$Q13,$W13,$X13,$Y13,$Z13,$AC13,$AD13))</f>
        <v>2</v>
      </c>
      <c r="AM13" s="465"/>
      <c r="AN13" s="457"/>
      <c r="AO13" s="457"/>
      <c r="AP13" s="457"/>
      <c r="AQ13" s="466">
        <f>RANK(N13,($I13,$L13,$N13,$O13,$P13,$Q13,$W13,$X13,$Y13,$Z13,$AC13,$AD13))</f>
        <v>6</v>
      </c>
      <c r="AR13" s="457"/>
      <c r="AS13" s="466">
        <f>RANK(P13,($I13,$L13,$N13,$O13,$P13,$Q13,$W13,$X13,$Y13,$Z13,$AC13,$AD13))</f>
        <v>4</v>
      </c>
      <c r="AT13" s="457"/>
      <c r="AU13" s="457"/>
      <c r="AV13" s="457"/>
      <c r="AW13" s="466">
        <f>RANK(Y13,($I13,$L13,$N13,$O13,$P13,$Q13,$W13,$X13,$Y13,$Z13,$AC13,$AD13))</f>
        <v>7</v>
      </c>
      <c r="AX13" s="466">
        <f>RANK(Z13,($I13,$L13,$N13,$O13,$P13,$Q13,$W13,$X13,$Y13,$Z13,$AC13,$AD13))</f>
        <v>5</v>
      </c>
      <c r="AY13" s="466">
        <f>RANK(AC13,($I13,$L13,$N13,$O13,$P13,$Q13,$W13,$X13,$Y13,$Z13,$AC13,$AD13))</f>
        <v>1</v>
      </c>
      <c r="AZ13" s="471">
        <f>RANK(AD13,($I13,$L13,$N13,$O13,$P13,$Q13,$W13,$X13,$Y13,$Z13,$AC13,$AD13))</f>
        <v>3</v>
      </c>
      <c r="BA13" s="461" t="str">
        <f t="shared" si="9"/>
        <v>PRD</v>
      </c>
      <c r="BB13" s="124" t="str">
        <f t="shared" si="10"/>
        <v>ninguno</v>
      </c>
      <c r="BC13" s="124" t="str">
        <f t="shared" si="11"/>
        <v>PRD</v>
      </c>
      <c r="BD13" s="119">
        <f t="shared" si="12"/>
        <v>1423</v>
      </c>
      <c r="BE13" s="119" t="str">
        <f t="shared" si="13"/>
        <v>ninguno</v>
      </c>
      <c r="BF13" s="119">
        <f t="shared" si="14"/>
        <v>1423</v>
      </c>
      <c r="BG13" s="467">
        <f t="shared" si="15"/>
        <v>0.2624976941523704</v>
      </c>
      <c r="BH13" s="468">
        <f t="shared" si="16"/>
        <v>308</v>
      </c>
      <c r="BI13" s="467">
        <f t="shared" si="16"/>
        <v>5.6816085593064003E-2</v>
      </c>
    </row>
    <row r="14" spans="1:61">
      <c r="A14" s="434">
        <v>7</v>
      </c>
      <c r="B14" s="435" t="s">
        <v>33</v>
      </c>
      <c r="C14" s="436">
        <v>16143</v>
      </c>
      <c r="D14" s="434">
        <v>28</v>
      </c>
      <c r="E14" s="434">
        <v>28</v>
      </c>
      <c r="F14" s="437">
        <f t="shared" si="0"/>
        <v>1</v>
      </c>
      <c r="G14" s="455">
        <v>2290</v>
      </c>
      <c r="H14" s="456">
        <v>4007</v>
      </c>
      <c r="I14" s="456">
        <v>628</v>
      </c>
      <c r="J14" s="456">
        <v>4428</v>
      </c>
      <c r="K14" s="456">
        <v>35</v>
      </c>
      <c r="L14" s="457"/>
      <c r="M14" s="456">
        <v>62</v>
      </c>
      <c r="N14" s="456">
        <v>80</v>
      </c>
      <c r="O14" s="465"/>
      <c r="P14" s="465"/>
      <c r="Q14" s="465"/>
      <c r="R14" s="456">
        <v>14</v>
      </c>
      <c r="S14" s="456">
        <v>32</v>
      </c>
      <c r="T14" s="456">
        <v>1</v>
      </c>
      <c r="U14" s="456">
        <v>0</v>
      </c>
      <c r="V14" s="457"/>
      <c r="W14" s="457"/>
      <c r="X14" s="457"/>
      <c r="Y14" s="456">
        <v>5</v>
      </c>
      <c r="Z14" s="456">
        <v>308</v>
      </c>
      <c r="AA14" s="458">
        <f t="shared" si="1"/>
        <v>11890</v>
      </c>
      <c r="AB14" s="459">
        <f t="shared" si="2"/>
        <v>0.73654215449420801</v>
      </c>
      <c r="AC14" s="455">
        <f t="shared" si="3"/>
        <v>4151</v>
      </c>
      <c r="AD14" s="460"/>
      <c r="AE14" s="461" t="str">
        <f t="shared" si="4"/>
        <v>PT</v>
      </c>
      <c r="AF14" s="462" t="str">
        <f t="shared" si="5"/>
        <v>ninguno</v>
      </c>
      <c r="AG14" s="124" t="str">
        <f t="shared" si="6"/>
        <v>PT</v>
      </c>
      <c r="AH14" s="119">
        <f t="shared" si="7"/>
        <v>4428</v>
      </c>
      <c r="AI14" s="463">
        <f t="shared" si="8"/>
        <v>0.3724137931034483</v>
      </c>
      <c r="AJ14" s="464">
        <f>RANK(G14,($G14,$I14,$J14,$L14,$N14,$O14,$P14,$Q14,$W14,$X14,$Y14,$Z14,$AC14))</f>
        <v>3</v>
      </c>
      <c r="AK14" s="465"/>
      <c r="AL14" s="466">
        <f>RANK(I14,($G14,$I14,$J14,$L14,$N14,$O14,$P14,$Q14,$W14,$X14,$Y14,$Z14,$AC14))</f>
        <v>4</v>
      </c>
      <c r="AM14" s="466">
        <f>RANK(J14,($G14,$I14,$J14,$L14,$N14,$O14,$P14,$Q14,$W14,$X14,$Y14,$Z14,$AC14))</f>
        <v>1</v>
      </c>
      <c r="AN14" s="457"/>
      <c r="AO14" s="457"/>
      <c r="AP14" s="457"/>
      <c r="AQ14" s="466">
        <f>RANK(N14,($G14,$I14,$J14,$L14,$N14,$O14,$P14,$Q14,$W14,$X14,$Y14,$Z14,$AC14))</f>
        <v>6</v>
      </c>
      <c r="AR14" s="457"/>
      <c r="AS14" s="457"/>
      <c r="AT14" s="457"/>
      <c r="AU14" s="457"/>
      <c r="AV14" s="457"/>
      <c r="AW14" s="466">
        <f>RANK(Y14,($G14,$I14,$J14,$L14,$N14,$O14,$P14,$Q14,$W14,$X14,$Y14,$Z14,$AC14))</f>
        <v>7</v>
      </c>
      <c r="AX14" s="466">
        <f>RANK(Z14,($G14,$I14,$J14,$L14,$N14,$O14,$P14,$Q14,$W14,$X14,$Y14,$Z14,$AC14))</f>
        <v>5</v>
      </c>
      <c r="AY14" s="466">
        <f>RANK(AC14,($G14,$I14,$J14,$L14,$N14,$O14,$P14,$Q14,$W14,$X14,$Y14,$Z14,$AC14))</f>
        <v>2</v>
      </c>
      <c r="AZ14" s="460"/>
      <c r="BA14" s="461" t="str">
        <f t="shared" si="9"/>
        <v>otro</v>
      </c>
      <c r="BB14" s="124" t="str">
        <f t="shared" si="10"/>
        <v>PRI-PVEM-NA</v>
      </c>
      <c r="BC14" s="124" t="str">
        <f t="shared" si="11"/>
        <v>PRI-PVEM-NA</v>
      </c>
      <c r="BD14" s="119" t="str">
        <f t="shared" si="12"/>
        <v>otro</v>
      </c>
      <c r="BE14" s="119">
        <f t="shared" si="13"/>
        <v>4151</v>
      </c>
      <c r="BF14" s="119">
        <f t="shared" si="14"/>
        <v>4151</v>
      </c>
      <c r="BG14" s="467">
        <f t="shared" si="15"/>
        <v>0.34911690496215309</v>
      </c>
      <c r="BH14" s="468">
        <f t="shared" si="16"/>
        <v>277</v>
      </c>
      <c r="BI14" s="467">
        <f t="shared" si="16"/>
        <v>2.3296888141295213E-2</v>
      </c>
    </row>
    <row r="15" spans="1:61">
      <c r="A15" s="434">
        <v>8</v>
      </c>
      <c r="B15" s="435" t="s">
        <v>35</v>
      </c>
      <c r="C15" s="436">
        <v>20617</v>
      </c>
      <c r="D15" s="434">
        <v>46</v>
      </c>
      <c r="E15" s="434">
        <v>46</v>
      </c>
      <c r="F15" s="437">
        <f t="shared" si="0"/>
        <v>1</v>
      </c>
      <c r="G15" s="455">
        <v>3236</v>
      </c>
      <c r="H15" s="456">
        <v>4272</v>
      </c>
      <c r="I15" s="456">
        <v>6733</v>
      </c>
      <c r="J15" s="456">
        <v>55</v>
      </c>
      <c r="K15" s="456">
        <v>123</v>
      </c>
      <c r="L15" s="456">
        <v>19</v>
      </c>
      <c r="M15" s="456">
        <v>43</v>
      </c>
      <c r="N15" s="456">
        <v>206</v>
      </c>
      <c r="O15" s="465"/>
      <c r="P15" s="465"/>
      <c r="Q15" s="465"/>
      <c r="R15" s="456">
        <v>15</v>
      </c>
      <c r="S15" s="456">
        <v>43</v>
      </c>
      <c r="T15" s="456">
        <v>0</v>
      </c>
      <c r="U15" s="456">
        <v>2</v>
      </c>
      <c r="V15" s="457"/>
      <c r="W15" s="457"/>
      <c r="X15" s="457"/>
      <c r="Y15" s="456">
        <v>0</v>
      </c>
      <c r="Z15" s="456">
        <v>488</v>
      </c>
      <c r="AA15" s="458">
        <f t="shared" si="1"/>
        <v>15235</v>
      </c>
      <c r="AB15" s="459">
        <f t="shared" si="2"/>
        <v>0.73895329097346851</v>
      </c>
      <c r="AC15" s="455">
        <f t="shared" si="3"/>
        <v>4498</v>
      </c>
      <c r="AD15" s="460"/>
      <c r="AE15" s="461" t="str">
        <f t="shared" si="4"/>
        <v>PRD</v>
      </c>
      <c r="AF15" s="462" t="str">
        <f t="shared" si="5"/>
        <v>ninguno</v>
      </c>
      <c r="AG15" s="124" t="str">
        <f t="shared" si="6"/>
        <v>PRD</v>
      </c>
      <c r="AH15" s="119">
        <f t="shared" si="7"/>
        <v>6733</v>
      </c>
      <c r="AI15" s="463">
        <f t="shared" si="8"/>
        <v>0.44194289465047587</v>
      </c>
      <c r="AJ15" s="464">
        <f>RANK(G15,($G15,$I15,$J15,$L15,$N15,$O15,$P15,$Q15,$W15,$X15,$Y15,$Z15,$AC15))</f>
        <v>3</v>
      </c>
      <c r="AK15" s="465"/>
      <c r="AL15" s="466">
        <f>RANK(I15,($G15,$I15,$J15,$L15,$N15,$O15,$P15,$Q15,$W15,$X15,$Y15,$Z15,$AC15))</f>
        <v>1</v>
      </c>
      <c r="AM15" s="466">
        <f>RANK(J15,($G15,$I15,$J15,$L15,$N15,$O15,$P15,$Q15,$W15,$X15,$Y15,$Z15,$AC15))</f>
        <v>6</v>
      </c>
      <c r="AN15" s="457"/>
      <c r="AO15" s="466">
        <f>RANK(L15,($G15,$I15,$J15,$L15,$N15,$O15,$P15,$Q15,$W15,$X15,$Y15,$Z15,$AC15))</f>
        <v>7</v>
      </c>
      <c r="AP15" s="457"/>
      <c r="AQ15" s="466">
        <f>RANK(N15,($G15,$I15,$J15,$L15,$N15,$O15,$P15,$Q15,$W15,$X15,$Y15,$Z15,$AC15))</f>
        <v>5</v>
      </c>
      <c r="AR15" s="457"/>
      <c r="AS15" s="457"/>
      <c r="AT15" s="457"/>
      <c r="AU15" s="457"/>
      <c r="AV15" s="457"/>
      <c r="AW15" s="466">
        <f>RANK(Y15,($G15,$I15,$J15,$L15,$N15,$O15,$P15,$Q15,$W15,$X15,$Y15,$Z15,$AC15))</f>
        <v>8</v>
      </c>
      <c r="AX15" s="466">
        <f>RANK(Z15,($G15,$I15,$J15,$L15,$N15,$O15,$P15,$Q15,$W15,$X15,$Y15,$Z15,$AC15))</f>
        <v>4</v>
      </c>
      <c r="AY15" s="466">
        <f>RANK(AC15,($G15,$I15,$J15,$L15,$N15,$O15,$P15,$Q15,$W15,$X15,$Y15,$Z15,$AC15))</f>
        <v>2</v>
      </c>
      <c r="AZ15" s="460"/>
      <c r="BA15" s="461" t="str">
        <f t="shared" si="9"/>
        <v>otro</v>
      </c>
      <c r="BB15" s="124" t="str">
        <f t="shared" si="10"/>
        <v>PRI-PVEM-NA</v>
      </c>
      <c r="BC15" s="124" t="str">
        <f t="shared" si="11"/>
        <v>PRI-PVEM-NA</v>
      </c>
      <c r="BD15" s="119" t="str">
        <f t="shared" si="12"/>
        <v>otro</v>
      </c>
      <c r="BE15" s="119">
        <f t="shared" si="13"/>
        <v>4498</v>
      </c>
      <c r="BF15" s="119">
        <f t="shared" si="14"/>
        <v>4498</v>
      </c>
      <c r="BG15" s="467">
        <f t="shared" si="15"/>
        <v>0.29524122087298982</v>
      </c>
      <c r="BH15" s="468">
        <f t="shared" si="16"/>
        <v>2235</v>
      </c>
      <c r="BI15" s="467">
        <f t="shared" si="16"/>
        <v>0.14670167377748605</v>
      </c>
    </row>
    <row r="16" spans="1:61">
      <c r="A16" s="434">
        <v>9</v>
      </c>
      <c r="B16" s="435" t="s">
        <v>36</v>
      </c>
      <c r="C16" s="436">
        <v>36762</v>
      </c>
      <c r="D16" s="434">
        <v>65</v>
      </c>
      <c r="E16" s="434">
        <v>65</v>
      </c>
      <c r="F16" s="437">
        <f t="shared" si="0"/>
        <v>1</v>
      </c>
      <c r="G16" s="455">
        <v>767</v>
      </c>
      <c r="H16" s="456">
        <v>5285</v>
      </c>
      <c r="I16" s="456">
        <v>4479</v>
      </c>
      <c r="J16" s="456">
        <v>223</v>
      </c>
      <c r="K16" s="456">
        <v>331</v>
      </c>
      <c r="L16" s="456">
        <v>1280</v>
      </c>
      <c r="M16" s="456">
        <v>323</v>
      </c>
      <c r="N16" s="456">
        <v>1065</v>
      </c>
      <c r="O16" s="465"/>
      <c r="P16" s="456">
        <v>6775</v>
      </c>
      <c r="Q16" s="456">
        <v>1042</v>
      </c>
      <c r="R16" s="456">
        <v>13</v>
      </c>
      <c r="S16" s="456">
        <v>68</v>
      </c>
      <c r="T16" s="456">
        <v>5</v>
      </c>
      <c r="U16" s="456">
        <v>6</v>
      </c>
      <c r="V16" s="456">
        <v>5</v>
      </c>
      <c r="W16" s="457"/>
      <c r="X16" s="457"/>
      <c r="Y16" s="456">
        <v>9</v>
      </c>
      <c r="Z16" s="456">
        <v>732</v>
      </c>
      <c r="AA16" s="458">
        <f t="shared" si="1"/>
        <v>22408</v>
      </c>
      <c r="AB16" s="459">
        <f t="shared" si="2"/>
        <v>0.60954246232522713</v>
      </c>
      <c r="AC16" s="455">
        <f t="shared" si="3"/>
        <v>6031</v>
      </c>
      <c r="AD16" s="458">
        <f>G16+J16+V16</f>
        <v>995</v>
      </c>
      <c r="AE16" s="461" t="str">
        <f t="shared" si="4"/>
        <v>otro</v>
      </c>
      <c r="AF16" s="462" t="str">
        <f t="shared" si="5"/>
        <v>ES</v>
      </c>
      <c r="AG16" s="124" t="str">
        <f t="shared" si="6"/>
        <v>ES</v>
      </c>
      <c r="AH16" s="119">
        <f t="shared" si="7"/>
        <v>6775</v>
      </c>
      <c r="AI16" s="463">
        <f t="shared" si="8"/>
        <v>0.30234737593716532</v>
      </c>
      <c r="AJ16" s="470"/>
      <c r="AK16" s="465"/>
      <c r="AL16" s="466">
        <f>RANK(I16,($I16,$L16,$N16,$O16,$P16,$Q16,$W16,$X16,$Y16,$Z16,$AC16,$AD16))</f>
        <v>3</v>
      </c>
      <c r="AM16" s="465"/>
      <c r="AN16" s="457"/>
      <c r="AO16" s="466">
        <f>RANK(L16,($I16,$L16,$N16,$O16,$P16,$Q16,$W16,$X16,$Y16,$Z16,$AC16,$AD16))</f>
        <v>4</v>
      </c>
      <c r="AP16" s="457"/>
      <c r="AQ16" s="466">
        <f>RANK(N16,($I16,$L16,$N16,$O16,$P16,$Q16,$W16,$X16,$Y16,$Z16,$AC16,$AD16))</f>
        <v>5</v>
      </c>
      <c r="AR16" s="457"/>
      <c r="AS16" s="466">
        <f>RANK(P16,($I16,$L16,$N16,$O16,$P16,$Q16,$W16,$X16,$Y16,$Z16,$AC16,$AD16))</f>
        <v>1</v>
      </c>
      <c r="AT16" s="466">
        <f>RANK(Q16,($I16,$L16,$N16,$O16,$P16,$Q16,$W16,$X16,$Y16,$Z16,$AC16,$AD16))</f>
        <v>6</v>
      </c>
      <c r="AU16" s="457"/>
      <c r="AV16" s="457"/>
      <c r="AW16" s="466">
        <f>RANK(Y16,($I16,$L16,$N16,$O16,$P16,$Q16,$W16,$X16,$Y16,$Z16,$AC16,$AD16))</f>
        <v>9</v>
      </c>
      <c r="AX16" s="466">
        <f>RANK(Z16,($I16,$L16,$N16,$O16,$P16,$Q16,$W16,$X16,$Y16,$Z16,$AC16,$AD16))</f>
        <v>8</v>
      </c>
      <c r="AY16" s="466">
        <f>RANK(AC16,($I16,$L16,$N16,$O16,$P16,$Q16,$W16,$X16,$Y16,$Z16,$AC16,$AD16))</f>
        <v>2</v>
      </c>
      <c r="AZ16" s="471">
        <f>RANK(AD16,($I16,$L16,$N16,$O16,$P16,$Q16,$W16,$X16,$Y16,$Z16,$AC16,$AD16))</f>
        <v>7</v>
      </c>
      <c r="BA16" s="461" t="str">
        <f t="shared" si="9"/>
        <v>otro</v>
      </c>
      <c r="BB16" s="124" t="str">
        <f t="shared" si="10"/>
        <v>PRI-PVEM-NA</v>
      </c>
      <c r="BC16" s="124" t="str">
        <f t="shared" si="11"/>
        <v>PRI-PVEM-NA</v>
      </c>
      <c r="BD16" s="119" t="str">
        <f t="shared" si="12"/>
        <v>otro</v>
      </c>
      <c r="BE16" s="119">
        <f t="shared" si="13"/>
        <v>6031</v>
      </c>
      <c r="BF16" s="119">
        <f t="shared" si="14"/>
        <v>6031</v>
      </c>
      <c r="BG16" s="467">
        <f t="shared" si="15"/>
        <v>0.26914494823277402</v>
      </c>
      <c r="BH16" s="468">
        <f t="shared" si="16"/>
        <v>744</v>
      </c>
      <c r="BI16" s="467">
        <f t="shared" si="16"/>
        <v>3.3202427704391302E-2</v>
      </c>
    </row>
    <row r="17" spans="1:61">
      <c r="A17" s="434">
        <v>10</v>
      </c>
      <c r="B17" s="435" t="s">
        <v>37</v>
      </c>
      <c r="C17" s="436">
        <v>19755</v>
      </c>
      <c r="D17" s="434">
        <v>33</v>
      </c>
      <c r="E17" s="434">
        <v>33</v>
      </c>
      <c r="F17" s="437">
        <f t="shared" si="0"/>
        <v>1</v>
      </c>
      <c r="G17" s="455">
        <v>2556</v>
      </c>
      <c r="H17" s="456">
        <v>3544</v>
      </c>
      <c r="I17" s="456">
        <v>219</v>
      </c>
      <c r="J17" s="456">
        <v>60</v>
      </c>
      <c r="K17" s="456">
        <v>57</v>
      </c>
      <c r="L17" s="456">
        <v>3207</v>
      </c>
      <c r="M17" s="456">
        <v>72</v>
      </c>
      <c r="N17" s="456">
        <v>105</v>
      </c>
      <c r="O17" s="456">
        <v>110</v>
      </c>
      <c r="P17" s="456">
        <v>1825</v>
      </c>
      <c r="Q17" s="465"/>
      <c r="R17" s="456">
        <v>5</v>
      </c>
      <c r="S17" s="456">
        <v>71</v>
      </c>
      <c r="T17" s="456">
        <v>2</v>
      </c>
      <c r="U17" s="456">
        <v>0</v>
      </c>
      <c r="V17" s="456">
        <v>52</v>
      </c>
      <c r="W17" s="457"/>
      <c r="X17" s="457"/>
      <c r="Y17" s="456">
        <v>13</v>
      </c>
      <c r="Z17" s="456">
        <v>297</v>
      </c>
      <c r="AA17" s="458">
        <f t="shared" si="1"/>
        <v>12195</v>
      </c>
      <c r="AB17" s="459">
        <f t="shared" si="2"/>
        <v>0.61731207289293855</v>
      </c>
      <c r="AC17" s="455">
        <f t="shared" si="3"/>
        <v>3751</v>
      </c>
      <c r="AD17" s="458">
        <f>G17+J17+V17</f>
        <v>2668</v>
      </c>
      <c r="AE17" s="461" t="str">
        <f t="shared" si="4"/>
        <v>otro</v>
      </c>
      <c r="AF17" s="462" t="str">
        <f t="shared" si="5"/>
        <v>PRI-PVEM-NA</v>
      </c>
      <c r="AG17" s="124" t="str">
        <f t="shared" si="6"/>
        <v>PRI-PVEM-NA</v>
      </c>
      <c r="AH17" s="119">
        <f t="shared" si="7"/>
        <v>3751</v>
      </c>
      <c r="AI17" s="463">
        <f t="shared" si="8"/>
        <v>0.3075850758507585</v>
      </c>
      <c r="AJ17" s="470"/>
      <c r="AK17" s="465"/>
      <c r="AL17" s="466">
        <f>RANK(I17,($I17,$L17,$N17,$O17,$P17,$Q17,$W17,$X17,$Y17,$Z17,$AC17,$AD17))</f>
        <v>6</v>
      </c>
      <c r="AM17" s="465"/>
      <c r="AN17" s="457"/>
      <c r="AO17" s="466">
        <f>RANK(L17,($I17,$L17,$N17,$O17,$P17,$Q17,$W17,$X17,$Y17,$Z17,$AC17,$AD17))</f>
        <v>2</v>
      </c>
      <c r="AP17" s="457"/>
      <c r="AQ17" s="466">
        <f>RANK(N17,($I17,$L17,$N17,$O17,$P17,$Q17,$W17,$X17,$Y17,$Z17,$AC17,$AD17))</f>
        <v>8</v>
      </c>
      <c r="AR17" s="466">
        <f>RANK(O17,($I17,$L17,$N17,$O17,$P17,$Q17,$W17,$X17,$Y17,$Z17,$AC17,$AD17))</f>
        <v>7</v>
      </c>
      <c r="AS17" s="466">
        <f>RANK(P17,($I17,$L17,$N17,$O17,$P17,$Q17,$W17,$X17,$Y17,$Z17,$AC17,$AD17))</f>
        <v>4</v>
      </c>
      <c r="AT17" s="457"/>
      <c r="AU17" s="457"/>
      <c r="AV17" s="457"/>
      <c r="AW17" s="466">
        <f>RANK(Y17,($I17,$L17,$N17,$O17,$P17,$Q17,$W17,$X17,$Y17,$Z17,$AC17,$AD17))</f>
        <v>9</v>
      </c>
      <c r="AX17" s="466">
        <f>RANK(Z17,($I17,$L17,$N17,$O17,$P17,$Q17,$W17,$X17,$Y17,$Z17,$AC17,$AD17))</f>
        <v>5</v>
      </c>
      <c r="AY17" s="466">
        <f>RANK(AC17,($I17,$L17,$N17,$O17,$P17,$Q17,$W17,$X17,$Y17,$Z17,$AC17,$AD17))</f>
        <v>1</v>
      </c>
      <c r="AZ17" s="471">
        <f>RANK(AD17,($I17,$L17,$N17,$O17,$P17,$Q17,$W17,$X17,$Y17,$Z17,$AC17,$AD17))</f>
        <v>3</v>
      </c>
      <c r="BA17" s="461" t="str">
        <f t="shared" si="9"/>
        <v>MC</v>
      </c>
      <c r="BB17" s="124" t="str">
        <f t="shared" si="10"/>
        <v>ninguno</v>
      </c>
      <c r="BC17" s="124" t="str">
        <f t="shared" si="11"/>
        <v>MC</v>
      </c>
      <c r="BD17" s="119">
        <f t="shared" si="12"/>
        <v>3207</v>
      </c>
      <c r="BE17" s="119" t="str">
        <f t="shared" si="13"/>
        <v>ninguno</v>
      </c>
      <c r="BF17" s="119">
        <f t="shared" si="14"/>
        <v>3207</v>
      </c>
      <c r="BG17" s="467">
        <f t="shared" si="15"/>
        <v>0.26297662976629765</v>
      </c>
      <c r="BH17" s="468">
        <f t="shared" si="16"/>
        <v>544</v>
      </c>
      <c r="BI17" s="467">
        <f t="shared" si="16"/>
        <v>4.4608446084460851E-2</v>
      </c>
    </row>
    <row r="18" spans="1:61">
      <c r="A18" s="434">
        <v>11</v>
      </c>
      <c r="B18" s="435" t="s">
        <v>38</v>
      </c>
      <c r="C18" s="436">
        <v>36365</v>
      </c>
      <c r="D18" s="434">
        <v>55</v>
      </c>
      <c r="E18" s="434">
        <v>55</v>
      </c>
      <c r="F18" s="437">
        <f t="shared" si="0"/>
        <v>1</v>
      </c>
      <c r="G18" s="455">
        <v>975</v>
      </c>
      <c r="H18" s="456">
        <v>6663</v>
      </c>
      <c r="I18" s="456">
        <v>1802</v>
      </c>
      <c r="J18" s="456">
        <v>4086</v>
      </c>
      <c r="K18" s="456">
        <v>175</v>
      </c>
      <c r="L18" s="456">
        <v>359</v>
      </c>
      <c r="M18" s="456">
        <v>246</v>
      </c>
      <c r="N18" s="456">
        <v>4011</v>
      </c>
      <c r="O18" s="456">
        <v>455</v>
      </c>
      <c r="P18" s="456">
        <v>612</v>
      </c>
      <c r="Q18" s="465"/>
      <c r="R18" s="456">
        <v>134</v>
      </c>
      <c r="S18" s="456">
        <v>56</v>
      </c>
      <c r="T18" s="456">
        <v>3</v>
      </c>
      <c r="U18" s="456">
        <v>3</v>
      </c>
      <c r="V18" s="456">
        <v>157</v>
      </c>
      <c r="W18" s="457"/>
      <c r="X18" s="457"/>
      <c r="Y18" s="456">
        <v>13</v>
      </c>
      <c r="Z18" s="456">
        <v>521</v>
      </c>
      <c r="AA18" s="458">
        <f t="shared" si="1"/>
        <v>20271</v>
      </c>
      <c r="AB18" s="459">
        <f t="shared" si="2"/>
        <v>0.55743159631513817</v>
      </c>
      <c r="AC18" s="455">
        <f t="shared" si="3"/>
        <v>7280</v>
      </c>
      <c r="AD18" s="458">
        <f>G18+J18+V18</f>
        <v>5218</v>
      </c>
      <c r="AE18" s="461" t="str">
        <f t="shared" si="4"/>
        <v>otro</v>
      </c>
      <c r="AF18" s="462" t="str">
        <f t="shared" si="5"/>
        <v>PRI-PVEM-NA</v>
      </c>
      <c r="AG18" s="124" t="str">
        <f t="shared" si="6"/>
        <v>PRI-PVEM-NA</v>
      </c>
      <c r="AH18" s="119">
        <f t="shared" si="7"/>
        <v>7280</v>
      </c>
      <c r="AI18" s="463">
        <f t="shared" si="8"/>
        <v>0.35913373785210401</v>
      </c>
      <c r="AJ18" s="470"/>
      <c r="AK18" s="465"/>
      <c r="AL18" s="466">
        <f>RANK(I18,($I18,$L18,$N18,$O18,$P18,$Q18,$W18,$X18,$Y18,$Z18,$AC18,$AD18))</f>
        <v>4</v>
      </c>
      <c r="AM18" s="465"/>
      <c r="AN18" s="457"/>
      <c r="AO18" s="466">
        <f>RANK(L18,($I18,$L18,$N18,$O18,$P18,$Q18,$W18,$X18,$Y18,$Z18,$AC18,$AD18))</f>
        <v>8</v>
      </c>
      <c r="AP18" s="457"/>
      <c r="AQ18" s="466">
        <f>RANK(N18,($I18,$L18,$N18,$O18,$P18,$Q18,$W18,$X18,$Y18,$Z18,$AC18,$AD18))</f>
        <v>3</v>
      </c>
      <c r="AR18" s="466">
        <f>RANK(O18,($I18,$L18,$N18,$O18,$P18,$Q18,$W18,$X18,$Y18,$Z18,$AC18,$AD18))</f>
        <v>7</v>
      </c>
      <c r="AS18" s="466">
        <f>RANK(P18,($I18,$L18,$N18,$O18,$P18,$Q18,$W18,$X18,$Y18,$Z18,$AC18,$AD18))</f>
        <v>5</v>
      </c>
      <c r="AT18" s="457"/>
      <c r="AU18" s="457"/>
      <c r="AV18" s="457"/>
      <c r="AW18" s="466">
        <f>RANK(Y18,($I18,$L18,$N18,$O18,$P18,$Q18,$W18,$X18,$Y18,$Z18,$AC18,$AD18))</f>
        <v>9</v>
      </c>
      <c r="AX18" s="466">
        <f>RANK(Z18,($I18,$L18,$N18,$O18,$P18,$Q18,$W18,$X18,$Y18,$Z18,$AC18,$AD18))</f>
        <v>6</v>
      </c>
      <c r="AY18" s="466">
        <f>RANK(AC18,($I18,$L18,$N18,$O18,$P18,$Q18,$W18,$X18,$Y18,$Z18,$AC18,$AD18))</f>
        <v>1</v>
      </c>
      <c r="AZ18" s="471">
        <f>RANK(AD18,($I18,$L18,$N18,$O18,$P18,$Q18,$W18,$X18,$Y18,$Z18,$AC18,$AD18))</f>
        <v>2</v>
      </c>
      <c r="BA18" s="461" t="str">
        <f t="shared" si="9"/>
        <v>otro</v>
      </c>
      <c r="BB18" s="124" t="str">
        <f t="shared" si="10"/>
        <v>PAN-PT</v>
      </c>
      <c r="BC18" s="124" t="str">
        <f t="shared" si="11"/>
        <v>PAN-PT</v>
      </c>
      <c r="BD18" s="119" t="str">
        <f t="shared" si="12"/>
        <v>otro</v>
      </c>
      <c r="BE18" s="119">
        <f t="shared" si="13"/>
        <v>5218</v>
      </c>
      <c r="BF18" s="119">
        <f t="shared" si="14"/>
        <v>5218</v>
      </c>
      <c r="BG18" s="467">
        <f t="shared" si="15"/>
        <v>0.25741206649893938</v>
      </c>
      <c r="BH18" s="468">
        <f t="shared" si="16"/>
        <v>2062</v>
      </c>
      <c r="BI18" s="467">
        <f t="shared" si="16"/>
        <v>0.10172167135316462</v>
      </c>
    </row>
    <row r="19" spans="1:61">
      <c r="A19" s="434">
        <v>12</v>
      </c>
      <c r="B19" s="435" t="s">
        <v>39</v>
      </c>
      <c r="C19" s="436">
        <v>7460</v>
      </c>
      <c r="D19" s="434">
        <v>13</v>
      </c>
      <c r="E19" s="434">
        <v>13</v>
      </c>
      <c r="F19" s="437">
        <f t="shared" si="0"/>
        <v>1</v>
      </c>
      <c r="G19" s="455">
        <v>357</v>
      </c>
      <c r="H19" s="456">
        <v>1538</v>
      </c>
      <c r="I19" s="456">
        <v>397</v>
      </c>
      <c r="J19" s="456">
        <v>887</v>
      </c>
      <c r="K19" s="456">
        <v>43</v>
      </c>
      <c r="L19" s="457"/>
      <c r="M19" s="456">
        <v>411</v>
      </c>
      <c r="N19" s="456">
        <v>858</v>
      </c>
      <c r="O19" s="465"/>
      <c r="P19" s="465"/>
      <c r="Q19" s="465"/>
      <c r="R19" s="465"/>
      <c r="S19" s="465"/>
      <c r="T19" s="465"/>
      <c r="U19" s="465"/>
      <c r="V19" s="456">
        <v>62</v>
      </c>
      <c r="W19" s="457"/>
      <c r="X19" s="457"/>
      <c r="Y19" s="456">
        <v>2</v>
      </c>
      <c r="Z19" s="456">
        <v>160</v>
      </c>
      <c r="AA19" s="458">
        <f t="shared" si="1"/>
        <v>4715</v>
      </c>
      <c r="AB19" s="459">
        <f t="shared" si="2"/>
        <v>0.63203753351206438</v>
      </c>
      <c r="AC19" s="470"/>
      <c r="AD19" s="458">
        <f>G19+J19+V19</f>
        <v>1306</v>
      </c>
      <c r="AE19" s="461" t="str">
        <f t="shared" si="4"/>
        <v>PRI</v>
      </c>
      <c r="AF19" s="462" t="str">
        <f t="shared" si="5"/>
        <v>ninguno</v>
      </c>
      <c r="AG19" s="124" t="str">
        <f t="shared" si="6"/>
        <v>PRI</v>
      </c>
      <c r="AH19" s="119">
        <f t="shared" si="7"/>
        <v>1538</v>
      </c>
      <c r="AI19" s="463">
        <f t="shared" si="8"/>
        <v>0.32619300106044541</v>
      </c>
      <c r="AJ19" s="470"/>
      <c r="AK19" s="466">
        <f>RANK(H19,($H19,$I19,$K19,$L19,$M19,$N19,$O19,$P19,$Q19,$W19,$X19,$Y19,$Z19,$AC19,$AD19))</f>
        <v>1</v>
      </c>
      <c r="AL19" s="466">
        <f>RANK(I19,($H19,$I19,$K19,$L19,$M19,$N19,$O19,$P19,$Q19,$W19,$X19,$Y19,$Z19,$AC19,$AD19))</f>
        <v>5</v>
      </c>
      <c r="AM19" s="465"/>
      <c r="AN19" s="466">
        <f>RANK(K19,($H19,$I19,$K19,$L19,$M19,$N19,$O19,$P19,$Q19,$W19,$X19,$Y19,$Z19,$AC19,$AD19))</f>
        <v>7</v>
      </c>
      <c r="AO19" s="457"/>
      <c r="AP19" s="466">
        <f>RANK(M19,($H19,$I19,$K19,$L19,$M19,$N19,$O19,$P19,$Q19,$W19,$X19,$Y19,$Z19,$AC19,$AD19))</f>
        <v>4</v>
      </c>
      <c r="AQ19" s="466">
        <f>RANK(N19,($H19,$I19,$K19,$L19,$M19,$N19,$O19,$P19,$Q19,$W19,$X19,$Y19,$Z19,$AC19,$AD19))</f>
        <v>3</v>
      </c>
      <c r="AR19" s="457"/>
      <c r="AS19" s="457"/>
      <c r="AT19" s="457"/>
      <c r="AU19" s="457"/>
      <c r="AV19" s="457"/>
      <c r="AW19" s="466">
        <f>RANK(Y19,($H19,$I19,$K19,$L19,$M19,$N19,$O19,$P19,$Q19,$W19,$X19,$Y19,$Z19,$AC19,$AD19))</f>
        <v>8</v>
      </c>
      <c r="AX19" s="466">
        <f>RANK(Z19,($H19,$I19,$K19,$L19,$M19,$N19,$O19,$P19,$Q19,$W19,$X19,$Y19,$Z19,$AC19,$AD19))</f>
        <v>6</v>
      </c>
      <c r="AY19" s="465"/>
      <c r="AZ19" s="471">
        <f>RANK(AD19,($H19,$I19,$K19,$L19,$M19,$N19,$O19,$P19,$Q19,$W19,$X19,$Y19,$Z19,$AC19,$AD19))</f>
        <v>2</v>
      </c>
      <c r="BA19" s="461" t="str">
        <f t="shared" si="9"/>
        <v>otro</v>
      </c>
      <c r="BB19" s="124" t="str">
        <f t="shared" si="10"/>
        <v>PAN-PT</v>
      </c>
      <c r="BC19" s="124" t="str">
        <f t="shared" si="11"/>
        <v>PAN-PT</v>
      </c>
      <c r="BD19" s="119" t="str">
        <f t="shared" si="12"/>
        <v>otro</v>
      </c>
      <c r="BE19" s="119">
        <f t="shared" si="13"/>
        <v>1306</v>
      </c>
      <c r="BF19" s="119">
        <f t="shared" si="14"/>
        <v>1306</v>
      </c>
      <c r="BG19" s="467">
        <f t="shared" si="15"/>
        <v>0.27698833510074233</v>
      </c>
      <c r="BH19" s="468">
        <f t="shared" si="16"/>
        <v>232</v>
      </c>
      <c r="BI19" s="467">
        <f t="shared" si="16"/>
        <v>4.9204665959703076E-2</v>
      </c>
    </row>
    <row r="20" spans="1:61">
      <c r="A20" s="434">
        <v>13</v>
      </c>
      <c r="B20" s="435" t="s">
        <v>40</v>
      </c>
      <c r="C20" s="436">
        <v>378410</v>
      </c>
      <c r="D20" s="434">
        <v>594</v>
      </c>
      <c r="E20" s="434">
        <v>594</v>
      </c>
      <c r="F20" s="437">
        <f t="shared" si="0"/>
        <v>1</v>
      </c>
      <c r="G20" s="455">
        <v>65237</v>
      </c>
      <c r="H20" s="456">
        <v>43356</v>
      </c>
      <c r="I20" s="456">
        <v>6791</v>
      </c>
      <c r="J20" s="456">
        <v>2233</v>
      </c>
      <c r="K20" s="456">
        <v>4447</v>
      </c>
      <c r="L20" s="456">
        <v>4338</v>
      </c>
      <c r="M20" s="456">
        <v>4829</v>
      </c>
      <c r="N20" s="456">
        <v>15961</v>
      </c>
      <c r="O20" s="465"/>
      <c r="P20" s="456">
        <v>10140</v>
      </c>
      <c r="Q20" s="456">
        <v>1271</v>
      </c>
      <c r="R20" s="456">
        <v>700</v>
      </c>
      <c r="S20" s="456">
        <v>756</v>
      </c>
      <c r="T20" s="456">
        <v>266</v>
      </c>
      <c r="U20" s="456">
        <v>51</v>
      </c>
      <c r="V20" s="456">
        <v>717</v>
      </c>
      <c r="W20" s="457"/>
      <c r="X20" s="457"/>
      <c r="Y20" s="456">
        <v>310</v>
      </c>
      <c r="Z20" s="456">
        <v>7798</v>
      </c>
      <c r="AA20" s="458">
        <f t="shared" si="1"/>
        <v>169201</v>
      </c>
      <c r="AB20" s="459">
        <f t="shared" si="2"/>
        <v>0.4471367035754869</v>
      </c>
      <c r="AC20" s="455">
        <f t="shared" si="3"/>
        <v>54405</v>
      </c>
      <c r="AD20" s="458">
        <f>G20+J20+V20</f>
        <v>68187</v>
      </c>
      <c r="AE20" s="461" t="str">
        <f t="shared" si="4"/>
        <v>otro</v>
      </c>
      <c r="AF20" s="462" t="str">
        <f t="shared" si="5"/>
        <v>PAN-PT</v>
      </c>
      <c r="AG20" s="124" t="str">
        <f t="shared" si="6"/>
        <v>PAN-PT</v>
      </c>
      <c r="AH20" s="119">
        <f t="shared" si="7"/>
        <v>68187</v>
      </c>
      <c r="AI20" s="463">
        <f t="shared" si="8"/>
        <v>0.40299407213905353</v>
      </c>
      <c r="AJ20" s="470"/>
      <c r="AK20" s="465"/>
      <c r="AL20" s="466">
        <f>RANK(I20,($I20,$L20,$N20,$O20,$P20,$Q20,$W20,$X20,$Y20,$Z20,$AC20,$AD20))</f>
        <v>6</v>
      </c>
      <c r="AM20" s="465"/>
      <c r="AN20" s="457"/>
      <c r="AO20" s="466">
        <f>RANK(L20,($I20,$L20,$N20,$O20,$P20,$Q20,$W20,$X20,$Y20,$Z20,$AC20,$AD20))</f>
        <v>7</v>
      </c>
      <c r="AP20" s="457"/>
      <c r="AQ20" s="466">
        <f>RANK(N20,($I20,$L20,$N20,$O20,$P20,$Q20,$W20,$X20,$Y20,$Z20,$AC20,$AD20))</f>
        <v>3</v>
      </c>
      <c r="AR20" s="457"/>
      <c r="AS20" s="466">
        <f>RANK(P20,($I20,$L20,$N20,$O20,$P20,$Q20,$W20,$X20,$Y20,$Z20,$AC20,$AD20))</f>
        <v>4</v>
      </c>
      <c r="AT20" s="466">
        <f>RANK(Q20,($I20,$L20,$N20,$O20,$P20,$Q20,$W20,$X20,$Y20,$Z20,$AC20,$AD20))</f>
        <v>8</v>
      </c>
      <c r="AU20" s="457"/>
      <c r="AV20" s="457"/>
      <c r="AW20" s="466">
        <f>RANK(Y20,($I20,$L20,$N20,$O20,$P20,$Q20,$W20,$X20,$Y20,$Z20,$AC20,$AD20))</f>
        <v>9</v>
      </c>
      <c r="AX20" s="466">
        <f>RANK(Z20,($I20,$L20,$N20,$O20,$P20,$Q20,$W20,$X20,$Y20,$Z20,$AC20,$AD20))</f>
        <v>5</v>
      </c>
      <c r="AY20" s="466">
        <f>RANK(AC20,($I20,$L20,$N20,$O20,$P20,$Q20,$W20,$X20,$Y20,$Z20,$AC20,$AD20))</f>
        <v>2</v>
      </c>
      <c r="AZ20" s="471">
        <f>RANK(AD20,($I20,$L20,$N20,$O20,$P20,$Q20,$W20,$X20,$Y20,$Z20,$AC20,$AD20))</f>
        <v>1</v>
      </c>
      <c r="BA20" s="461" t="str">
        <f t="shared" si="9"/>
        <v>otro</v>
      </c>
      <c r="BB20" s="124" t="str">
        <f t="shared" si="10"/>
        <v>PRI-PVEM-NA</v>
      </c>
      <c r="BC20" s="124" t="str">
        <f t="shared" si="11"/>
        <v>PRI-PVEM-NA</v>
      </c>
      <c r="BD20" s="119" t="str">
        <f t="shared" si="12"/>
        <v>otro</v>
      </c>
      <c r="BE20" s="119">
        <f t="shared" si="13"/>
        <v>54405</v>
      </c>
      <c r="BF20" s="119">
        <f t="shared" si="14"/>
        <v>54405</v>
      </c>
      <c r="BG20" s="467">
        <f t="shared" si="15"/>
        <v>0.32154065283302108</v>
      </c>
      <c r="BH20" s="468">
        <f t="shared" si="16"/>
        <v>13782</v>
      </c>
      <c r="BI20" s="467">
        <f t="shared" si="16"/>
        <v>8.1453419306032449E-2</v>
      </c>
    </row>
    <row r="21" spans="1:61">
      <c r="A21" s="434">
        <v>14</v>
      </c>
      <c r="B21" s="435" t="s">
        <v>41</v>
      </c>
      <c r="C21" s="436">
        <v>69062</v>
      </c>
      <c r="D21" s="434">
        <v>118</v>
      </c>
      <c r="E21" s="434">
        <v>118</v>
      </c>
      <c r="F21" s="437">
        <f t="shared" si="0"/>
        <v>1</v>
      </c>
      <c r="G21" s="455">
        <v>4802</v>
      </c>
      <c r="H21" s="456">
        <v>14528</v>
      </c>
      <c r="I21" s="456">
        <v>1129</v>
      </c>
      <c r="J21" s="456">
        <v>8401</v>
      </c>
      <c r="K21" s="456">
        <v>640</v>
      </c>
      <c r="L21" s="456">
        <v>1122</v>
      </c>
      <c r="M21" s="456">
        <v>952</v>
      </c>
      <c r="N21" s="456">
        <v>1426</v>
      </c>
      <c r="O21" s="465"/>
      <c r="P21" s="456">
        <v>969</v>
      </c>
      <c r="Q21" s="456">
        <v>194</v>
      </c>
      <c r="R21" s="456">
        <v>30</v>
      </c>
      <c r="S21" s="456">
        <v>132</v>
      </c>
      <c r="T21" s="456">
        <v>11</v>
      </c>
      <c r="U21" s="456">
        <v>13</v>
      </c>
      <c r="V21" s="457"/>
      <c r="W21" s="457"/>
      <c r="X21" s="457"/>
      <c r="Y21" s="456">
        <v>44</v>
      </c>
      <c r="Z21" s="456">
        <v>1530</v>
      </c>
      <c r="AA21" s="458">
        <f t="shared" si="1"/>
        <v>35923</v>
      </c>
      <c r="AB21" s="459">
        <f t="shared" si="2"/>
        <v>0.52015580203295586</v>
      </c>
      <c r="AC21" s="455">
        <f t="shared" si="3"/>
        <v>16306</v>
      </c>
      <c r="AD21" s="460"/>
      <c r="AE21" s="461" t="str">
        <f t="shared" si="4"/>
        <v>otro</v>
      </c>
      <c r="AF21" s="462" t="str">
        <f t="shared" si="5"/>
        <v>PRI-PVEM-NA</v>
      </c>
      <c r="AG21" s="124" t="str">
        <f t="shared" si="6"/>
        <v>PRI-PVEM-NA</v>
      </c>
      <c r="AH21" s="119">
        <f t="shared" si="7"/>
        <v>16306</v>
      </c>
      <c r="AI21" s="463">
        <f t="shared" si="8"/>
        <v>0.45391531887648584</v>
      </c>
      <c r="AJ21" s="464">
        <f>RANK(G21,($G21,$I21,$J21,$L21,$N21,$O21,$P21,$Q21,$W21,$X21,$Y21,$Z21,$AC21))</f>
        <v>3</v>
      </c>
      <c r="AK21" s="465"/>
      <c r="AL21" s="466">
        <f>RANK(I21,($G21,$I21,$J21,$L21,$N21,$O21,$P21,$Q21,$W21,$X21,$Y21,$Z21,$AC21))</f>
        <v>6</v>
      </c>
      <c r="AM21" s="466">
        <f>RANK(J21,($G21,$I21,$J21,$L21,$N21,$O21,$P21,$Q21,$W21,$X21,$Y21,$Z21,$AC21))</f>
        <v>2</v>
      </c>
      <c r="AN21" s="457"/>
      <c r="AO21" s="466">
        <f>RANK(L21,($G21,$I21,$J21,$L21,$N21,$O21,$P21,$Q21,$W21,$X21,$Y21,$Z21,$AC21))</f>
        <v>7</v>
      </c>
      <c r="AP21" s="457"/>
      <c r="AQ21" s="466">
        <f>RANK(N21,($G21,$I21,$J21,$L21,$N21,$O21,$P21,$Q21,$W21,$X21,$Y21,$Z21,$AC21))</f>
        <v>5</v>
      </c>
      <c r="AR21" s="457"/>
      <c r="AS21" s="466">
        <f>RANK(P21,($G21,$I21,$J21,$L21,$N21,$O21,$P21,$Q21,$W21,$X21,$Y21,$Z21,$AC21))</f>
        <v>8</v>
      </c>
      <c r="AT21" s="466">
        <f>RANK(Q21,($G21,$I21,$J21,$L21,$N21,$O21,$P21,$Q21,$W21,$X21,$Y21,$Z21,$AC21))</f>
        <v>9</v>
      </c>
      <c r="AU21" s="457"/>
      <c r="AV21" s="457"/>
      <c r="AW21" s="466">
        <f>RANK(Y21,($G21,$I21,$J21,$L21,$N21,$O21,$P21,$Q21,$W21,$X21,$Y21,$Z21,$AC21))</f>
        <v>10</v>
      </c>
      <c r="AX21" s="466">
        <f>RANK(Z21,($G21,$I21,$J21,$L21,$N21,$O21,$P21,$Q21,$W21,$X21,$Y21,$Z21,$AC21))</f>
        <v>4</v>
      </c>
      <c r="AY21" s="466">
        <f>RANK(AC21,($G21,$I21,$J21,$L21,$N21,$O21,$P21,$Q21,$W21,$X21,$Y21,$Z21,$AC21))</f>
        <v>1</v>
      </c>
      <c r="AZ21" s="460"/>
      <c r="BA21" s="461" t="str">
        <f t="shared" si="9"/>
        <v>PT</v>
      </c>
      <c r="BB21" s="124" t="str">
        <f t="shared" si="10"/>
        <v>ninguno</v>
      </c>
      <c r="BC21" s="124" t="str">
        <f t="shared" si="11"/>
        <v>PT</v>
      </c>
      <c r="BD21" s="119">
        <f t="shared" si="12"/>
        <v>8401</v>
      </c>
      <c r="BE21" s="119" t="str">
        <f t="shared" si="13"/>
        <v>ninguno</v>
      </c>
      <c r="BF21" s="119">
        <f t="shared" si="14"/>
        <v>8401</v>
      </c>
      <c r="BG21" s="467">
        <f t="shared" si="15"/>
        <v>0.23386131447818945</v>
      </c>
      <c r="BH21" s="468">
        <f t="shared" si="16"/>
        <v>7905</v>
      </c>
      <c r="BI21" s="467">
        <f t="shared" si="16"/>
        <v>0.22005400439829639</v>
      </c>
    </row>
    <row r="22" spans="1:61">
      <c r="A22" s="434">
        <v>15</v>
      </c>
      <c r="B22" s="435" t="s">
        <v>42</v>
      </c>
      <c r="C22" s="436">
        <v>19214</v>
      </c>
      <c r="D22" s="434">
        <v>31</v>
      </c>
      <c r="E22" s="434">
        <v>31</v>
      </c>
      <c r="F22" s="437">
        <f t="shared" si="0"/>
        <v>1</v>
      </c>
      <c r="G22" s="455">
        <v>2636</v>
      </c>
      <c r="H22" s="456">
        <v>3115</v>
      </c>
      <c r="I22" s="456">
        <v>1286</v>
      </c>
      <c r="J22" s="456">
        <v>141</v>
      </c>
      <c r="K22" s="456">
        <v>81</v>
      </c>
      <c r="L22" s="456">
        <v>1630</v>
      </c>
      <c r="M22" s="456">
        <v>62</v>
      </c>
      <c r="N22" s="456">
        <v>793</v>
      </c>
      <c r="O22" s="465"/>
      <c r="P22" s="456">
        <v>773</v>
      </c>
      <c r="Q22" s="456">
        <v>1555</v>
      </c>
      <c r="R22" s="456">
        <v>6</v>
      </c>
      <c r="S22" s="456">
        <v>8</v>
      </c>
      <c r="T22" s="456">
        <v>1</v>
      </c>
      <c r="U22" s="456">
        <v>0</v>
      </c>
      <c r="V22" s="457"/>
      <c r="W22" s="457"/>
      <c r="X22" s="457"/>
      <c r="Y22" s="456">
        <v>4</v>
      </c>
      <c r="Z22" s="456">
        <v>273</v>
      </c>
      <c r="AA22" s="458">
        <f t="shared" si="1"/>
        <v>12364</v>
      </c>
      <c r="AB22" s="459">
        <f t="shared" si="2"/>
        <v>0.64348912251483292</v>
      </c>
      <c r="AC22" s="455">
        <f t="shared" si="3"/>
        <v>3273</v>
      </c>
      <c r="AD22" s="460"/>
      <c r="AE22" s="461" t="str">
        <f t="shared" si="4"/>
        <v>otro</v>
      </c>
      <c r="AF22" s="462" t="str">
        <f t="shared" si="5"/>
        <v>PRI-PVEM-NA</v>
      </c>
      <c r="AG22" s="124" t="str">
        <f t="shared" si="6"/>
        <v>PRI-PVEM-NA</v>
      </c>
      <c r="AH22" s="119">
        <f t="shared" si="7"/>
        <v>3273</v>
      </c>
      <c r="AI22" s="463">
        <f t="shared" si="8"/>
        <v>0.26472015528955029</v>
      </c>
      <c r="AJ22" s="464">
        <f>RANK(G22,($G22,$I22,$J22,$L22,$N22,$O22,$P22,$Q22,$W22,$X22,$Y22,$Z22,$AC22))</f>
        <v>2</v>
      </c>
      <c r="AK22" s="465"/>
      <c r="AL22" s="466">
        <f>RANK(I22,($G22,$I22,$J22,$L22,$N22,$O22,$P22,$Q22,$W22,$X22,$Y22,$Z22,$AC22))</f>
        <v>5</v>
      </c>
      <c r="AM22" s="466">
        <f>RANK(J22,($G22,$I22,$J22,$L22,$N22,$O22,$P22,$Q22,$W22,$X22,$Y22,$Z22,$AC22))</f>
        <v>9</v>
      </c>
      <c r="AN22" s="457"/>
      <c r="AO22" s="466">
        <f>RANK(L22,($G22,$I22,$J22,$L22,$N22,$O22,$P22,$Q22,$W22,$X22,$Y22,$Z22,$AC22))</f>
        <v>3</v>
      </c>
      <c r="AP22" s="457"/>
      <c r="AQ22" s="466">
        <f>RANK(N22,($G22,$I22,$J22,$L22,$N22,$O22,$P22,$Q22,$W22,$X22,$Y22,$Z22,$AC22))</f>
        <v>6</v>
      </c>
      <c r="AR22" s="457"/>
      <c r="AS22" s="466">
        <f>RANK(P22,($G22,$I22,$J22,$L22,$N22,$O22,$P22,$Q22,$W22,$X22,$Y22,$Z22,$AC22))</f>
        <v>7</v>
      </c>
      <c r="AT22" s="466">
        <f>RANK(Q22,($G22,$I22,$J22,$L22,$N22,$O22,$P22,$Q22,$W22,$X22,$Y22,$Z22,$AC22))</f>
        <v>4</v>
      </c>
      <c r="AU22" s="457"/>
      <c r="AV22" s="457"/>
      <c r="AW22" s="466">
        <f>RANK(Y22,($G22,$I22,$J22,$L22,$N22,$O22,$P22,$Q22,$W22,$X22,$Y22,$Z22,$AC22))</f>
        <v>10</v>
      </c>
      <c r="AX22" s="466">
        <f>RANK(Z22,($G22,$I22,$J22,$L22,$N22,$O22,$P22,$Q22,$W22,$X22,$Y22,$Z22,$AC22))</f>
        <v>8</v>
      </c>
      <c r="AY22" s="466">
        <f>RANK(AC22,($G22,$I22,$J22,$L22,$N22,$O22,$P22,$Q22,$W22,$X22,$Y22,$Z22,$AC22))</f>
        <v>1</v>
      </c>
      <c r="AZ22" s="460"/>
      <c r="BA22" s="461" t="str">
        <f t="shared" si="9"/>
        <v>PAN</v>
      </c>
      <c r="BB22" s="124" t="str">
        <f t="shared" si="10"/>
        <v>ninguno</v>
      </c>
      <c r="BC22" s="124" t="str">
        <f t="shared" si="11"/>
        <v>PAN</v>
      </c>
      <c r="BD22" s="119">
        <f t="shared" si="12"/>
        <v>2636</v>
      </c>
      <c r="BE22" s="119" t="str">
        <f t="shared" si="13"/>
        <v>ninguno</v>
      </c>
      <c r="BF22" s="119">
        <f t="shared" si="14"/>
        <v>2636</v>
      </c>
      <c r="BG22" s="467">
        <f t="shared" si="15"/>
        <v>0.21319961177612423</v>
      </c>
      <c r="BH22" s="468">
        <f t="shared" si="16"/>
        <v>637</v>
      </c>
      <c r="BI22" s="467">
        <f t="shared" si="16"/>
        <v>5.1520543513426054E-2</v>
      </c>
    </row>
    <row r="23" spans="1:61">
      <c r="A23" s="434">
        <v>16</v>
      </c>
      <c r="B23" s="435" t="s">
        <v>577</v>
      </c>
      <c r="C23" s="436">
        <v>16671</v>
      </c>
      <c r="D23" s="434">
        <v>32</v>
      </c>
      <c r="E23" s="434">
        <v>32</v>
      </c>
      <c r="F23" s="437">
        <f t="shared" si="0"/>
        <v>1</v>
      </c>
      <c r="G23" s="455">
        <v>2613</v>
      </c>
      <c r="H23" s="456">
        <v>5031</v>
      </c>
      <c r="I23" s="456">
        <v>754</v>
      </c>
      <c r="J23" s="456">
        <v>2824</v>
      </c>
      <c r="K23" s="456">
        <v>65</v>
      </c>
      <c r="L23" s="457"/>
      <c r="M23" s="456">
        <v>433</v>
      </c>
      <c r="N23" s="456">
        <v>287</v>
      </c>
      <c r="O23" s="456">
        <v>154</v>
      </c>
      <c r="P23" s="456">
        <v>116</v>
      </c>
      <c r="Q23" s="465"/>
      <c r="R23" s="465"/>
      <c r="S23" s="465"/>
      <c r="T23" s="465"/>
      <c r="U23" s="465"/>
      <c r="V23" s="457"/>
      <c r="W23" s="457"/>
      <c r="X23" s="457"/>
      <c r="Y23" s="456">
        <v>1</v>
      </c>
      <c r="Z23" s="456">
        <v>263</v>
      </c>
      <c r="AA23" s="458">
        <f t="shared" si="1"/>
        <v>12541</v>
      </c>
      <c r="AB23" s="459">
        <f t="shared" si="2"/>
        <v>0.75226441125307419</v>
      </c>
      <c r="AC23" s="470"/>
      <c r="AD23" s="460"/>
      <c r="AE23" s="461" t="str">
        <f t="shared" si="4"/>
        <v>PRI</v>
      </c>
      <c r="AF23" s="462" t="str">
        <f t="shared" si="5"/>
        <v>ninguno</v>
      </c>
      <c r="AG23" s="124" t="str">
        <f t="shared" si="6"/>
        <v>PRI</v>
      </c>
      <c r="AH23" s="119">
        <f t="shared" si="7"/>
        <v>5031</v>
      </c>
      <c r="AI23" s="463">
        <f t="shared" si="8"/>
        <v>0.4011641814847301</v>
      </c>
      <c r="AJ23" s="464">
        <f>RANK(G23,($G23,$H23,$I23,$J23,$K23,$L23,$M23,$N23,$O23,$P23,$Q23,$W23,$X23,$Y23,$Z23))</f>
        <v>3</v>
      </c>
      <c r="AK23" s="466">
        <f>RANK(H23,($G23,$H23,$I23,$J23,$K23,$L23,$M23,$N23,$O23,$P23,$Q23,$W23,$X23,$Y23,$Z23))</f>
        <v>1</v>
      </c>
      <c r="AL23" s="466">
        <f>RANK(I23,($G23,$H23,$I23,$J23,$K23,$L23,$M23,$N23,$O23,$P23,$Q23,$W23,$X23,$Y23,$Z23))</f>
        <v>4</v>
      </c>
      <c r="AM23" s="466">
        <f>RANK(J23,($G23,$H23,$I23,$J23,$K23,$L23,$M23,$N23,$O23,$P23,$Q23,$W23,$X23,$Y23,$Z23))</f>
        <v>2</v>
      </c>
      <c r="AN23" s="466">
        <f>RANK(K23,($G23,$H23,$I23,$J23,$K23,$L23,$M23,$N23,$O23,$P23,$Q23,$W23,$X23,$Y23,$Z23))</f>
        <v>10</v>
      </c>
      <c r="AO23" s="457"/>
      <c r="AP23" s="466">
        <f>RANK(M23,($G23,$H23,$I23,$J23,$K23,$L23,$M23,$N23,$O23,$P23,$Q23,$W23,$X23,$Y23,$Z23))</f>
        <v>5</v>
      </c>
      <c r="AQ23" s="466">
        <f>RANK(N23,($G23,$H23,$I23,$J23,$K23,$L23,$M23,$N23,$O23,$P23,$Q23,$W23,$X23,$Y23,$Z23))</f>
        <v>6</v>
      </c>
      <c r="AR23" s="466">
        <f>RANK(O23,($G23,$H23,$I23,$J23,$K23,$L23,$M23,$N23,$O23,$P23,$Q23,$W23,$X23,$Y23,$Z23))</f>
        <v>8</v>
      </c>
      <c r="AS23" s="466">
        <f>RANK(P23,($G23,$H23,$I23,$J23,$K23,$L23,$M23,$N23,$O23,$P23,$Q23,$W23,$X23,$Y23,$Z23))</f>
        <v>9</v>
      </c>
      <c r="AT23" s="457"/>
      <c r="AU23" s="457"/>
      <c r="AV23" s="457"/>
      <c r="AW23" s="466">
        <f>RANK(Y23,($G23,$H23,$I23,$J23,$K23,$L23,$M23,$N23,$O23,$P23,$Q23,$W23,$X23,$Y23,$Z23))</f>
        <v>11</v>
      </c>
      <c r="AX23" s="466">
        <f>RANK(Z23,($G23,$H23,$I23,$J23,$K23,$L23,$M23,$N23,$O23,$P23,$Q23,$W23,$X23,$Y23,$Z23))</f>
        <v>7</v>
      </c>
      <c r="AY23" s="465"/>
      <c r="AZ23" s="460"/>
      <c r="BA23" s="461" t="str">
        <f t="shared" si="9"/>
        <v>PT</v>
      </c>
      <c r="BB23" s="124" t="str">
        <f t="shared" si="10"/>
        <v>ninguno</v>
      </c>
      <c r="BC23" s="124" t="str">
        <f t="shared" si="11"/>
        <v>PT</v>
      </c>
      <c r="BD23" s="119">
        <f t="shared" si="12"/>
        <v>2824</v>
      </c>
      <c r="BE23" s="119" t="str">
        <f t="shared" si="13"/>
        <v>ninguno</v>
      </c>
      <c r="BF23" s="119">
        <f t="shared" si="14"/>
        <v>2824</v>
      </c>
      <c r="BG23" s="467">
        <f t="shared" si="15"/>
        <v>0.22518140499162745</v>
      </c>
      <c r="BH23" s="468">
        <f t="shared" si="16"/>
        <v>2207</v>
      </c>
      <c r="BI23" s="467">
        <f t="shared" si="16"/>
        <v>0.17598277649310265</v>
      </c>
    </row>
    <row r="24" spans="1:61">
      <c r="A24" s="434">
        <v>17</v>
      </c>
      <c r="B24" s="435" t="s">
        <v>43</v>
      </c>
      <c r="C24" s="436">
        <v>5144</v>
      </c>
      <c r="D24" s="434">
        <v>9</v>
      </c>
      <c r="E24" s="434">
        <v>9</v>
      </c>
      <c r="F24" s="437">
        <f t="shared" si="0"/>
        <v>1</v>
      </c>
      <c r="G24" s="455">
        <v>32</v>
      </c>
      <c r="H24" s="456">
        <v>1451</v>
      </c>
      <c r="I24" s="456">
        <v>1343</v>
      </c>
      <c r="J24" s="456">
        <v>61</v>
      </c>
      <c r="K24" s="456">
        <v>31</v>
      </c>
      <c r="L24" s="456">
        <v>744</v>
      </c>
      <c r="M24" s="456">
        <v>11</v>
      </c>
      <c r="N24" s="456">
        <v>79</v>
      </c>
      <c r="O24" s="465"/>
      <c r="P24" s="456">
        <v>27</v>
      </c>
      <c r="Q24" s="456">
        <v>34</v>
      </c>
      <c r="R24" s="456">
        <v>1</v>
      </c>
      <c r="S24" s="456">
        <v>0</v>
      </c>
      <c r="T24" s="456">
        <v>4</v>
      </c>
      <c r="U24" s="456">
        <v>0</v>
      </c>
      <c r="V24" s="456">
        <v>3</v>
      </c>
      <c r="W24" s="457"/>
      <c r="X24" s="457"/>
      <c r="Y24" s="456">
        <v>0</v>
      </c>
      <c r="Z24" s="456">
        <v>58</v>
      </c>
      <c r="AA24" s="458">
        <f t="shared" si="1"/>
        <v>3879</v>
      </c>
      <c r="AB24" s="459">
        <f t="shared" si="2"/>
        <v>0.75408242612752718</v>
      </c>
      <c r="AC24" s="455">
        <f t="shared" si="3"/>
        <v>1498</v>
      </c>
      <c r="AD24" s="458">
        <f>G24+J24+V24</f>
        <v>96</v>
      </c>
      <c r="AE24" s="461" t="str">
        <f t="shared" si="4"/>
        <v>otro</v>
      </c>
      <c r="AF24" s="462" t="str">
        <f t="shared" si="5"/>
        <v>PRI-PVEM-NA</v>
      </c>
      <c r="AG24" s="124" t="str">
        <f t="shared" si="6"/>
        <v>PRI-PVEM-NA</v>
      </c>
      <c r="AH24" s="119">
        <f t="shared" si="7"/>
        <v>1498</v>
      </c>
      <c r="AI24" s="463">
        <f t="shared" si="8"/>
        <v>0.38618200567156485</v>
      </c>
      <c r="AJ24" s="470"/>
      <c r="AK24" s="465"/>
      <c r="AL24" s="466">
        <f>RANK(I24,($I24,$L24,$N24,$O24,$P24,$Q24,$W24,$X24,$Y24,$Z24,$AC24,$AD24))</f>
        <v>2</v>
      </c>
      <c r="AM24" s="465"/>
      <c r="AN24" s="457"/>
      <c r="AO24" s="466">
        <f>RANK(L24,($I24,$L24,$N24,$O24,$P24,$Q24,$W24,$X24,$Y24,$Z24,$AC24,$AD24))</f>
        <v>3</v>
      </c>
      <c r="AP24" s="457"/>
      <c r="AQ24" s="466">
        <f>RANK(N24,($I24,$L24,$N24,$O24,$P24,$Q24,$W24,$X24,$Y24,$Z24,$AC24,$AD24))</f>
        <v>5</v>
      </c>
      <c r="AR24" s="457"/>
      <c r="AS24" s="466">
        <f>RANK(P24,($I24,$L24,$N24,$O24,$P24,$Q24,$W24,$X24,$Y24,$Z24,$AC24,$AD24))</f>
        <v>8</v>
      </c>
      <c r="AT24" s="466">
        <f>RANK(Q24,($I24,$L24,$N24,$O24,$P24,$Q24,$W24,$X24,$Y24,$Z24,$AC24,$AD24))</f>
        <v>7</v>
      </c>
      <c r="AU24" s="457"/>
      <c r="AV24" s="457"/>
      <c r="AW24" s="466">
        <f>RANK(Y24,($I24,$L24,$N24,$O24,$P24,$Q24,$W24,$X24,$Y24,$Z24,$AC24,$AD24))</f>
        <v>9</v>
      </c>
      <c r="AX24" s="466">
        <f>RANK(Z24,($I24,$L24,$N24,$O24,$P24,$Q24,$W24,$X24,$Y24,$Z24,$AC24,$AD24))</f>
        <v>6</v>
      </c>
      <c r="AY24" s="466">
        <f>RANK(AC24,($I24,$L24,$N24,$O24,$P24,$Q24,$W24,$X24,$Y24,$Z24,$AC24,$AD24))</f>
        <v>1</v>
      </c>
      <c r="AZ24" s="471">
        <f>RANK(AD24,($I24,$L24,$N24,$O24,$P24,$Q24,$W24,$X24,$Y24,$Z24,$AC24,$AD24))</f>
        <v>4</v>
      </c>
      <c r="BA24" s="461" t="str">
        <f t="shared" si="9"/>
        <v>PRD</v>
      </c>
      <c r="BB24" s="124" t="str">
        <f t="shared" si="10"/>
        <v>ninguno</v>
      </c>
      <c r="BC24" s="124" t="str">
        <f t="shared" si="11"/>
        <v>PRD</v>
      </c>
      <c r="BD24" s="119">
        <f t="shared" si="12"/>
        <v>1343</v>
      </c>
      <c r="BE24" s="119" t="str">
        <f t="shared" si="13"/>
        <v>ninguno</v>
      </c>
      <c r="BF24" s="119">
        <f t="shared" si="14"/>
        <v>1343</v>
      </c>
      <c r="BG24" s="467">
        <f t="shared" si="15"/>
        <v>0.34622325341582882</v>
      </c>
      <c r="BH24" s="468">
        <f t="shared" si="16"/>
        <v>155</v>
      </c>
      <c r="BI24" s="467">
        <f t="shared" si="16"/>
        <v>3.995875225573603E-2</v>
      </c>
    </row>
    <row r="25" spans="1:61">
      <c r="A25" s="434">
        <v>18</v>
      </c>
      <c r="B25" s="435" t="s">
        <v>44</v>
      </c>
      <c r="C25" s="436">
        <v>32458</v>
      </c>
      <c r="D25" s="434">
        <v>53</v>
      </c>
      <c r="E25" s="434">
        <v>53</v>
      </c>
      <c r="F25" s="437">
        <f t="shared" si="0"/>
        <v>1</v>
      </c>
      <c r="G25" s="455">
        <v>4613</v>
      </c>
      <c r="H25" s="456">
        <v>6569</v>
      </c>
      <c r="I25" s="456">
        <v>747</v>
      </c>
      <c r="J25" s="456">
        <v>5139</v>
      </c>
      <c r="K25" s="456">
        <v>199</v>
      </c>
      <c r="L25" s="456">
        <v>390</v>
      </c>
      <c r="M25" s="456">
        <v>235</v>
      </c>
      <c r="N25" s="456">
        <v>781</v>
      </c>
      <c r="O25" s="456">
        <v>1441</v>
      </c>
      <c r="P25" s="456">
        <v>217</v>
      </c>
      <c r="Q25" s="456">
        <v>44</v>
      </c>
      <c r="R25" s="456">
        <v>182</v>
      </c>
      <c r="S25" s="456">
        <v>68</v>
      </c>
      <c r="T25" s="456">
        <v>3</v>
      </c>
      <c r="U25" s="456">
        <v>0</v>
      </c>
      <c r="V25" s="457"/>
      <c r="W25" s="457"/>
      <c r="X25" s="457"/>
      <c r="Y25" s="456">
        <v>8</v>
      </c>
      <c r="Z25" s="456">
        <v>593</v>
      </c>
      <c r="AA25" s="458">
        <f t="shared" si="1"/>
        <v>21229</v>
      </c>
      <c r="AB25" s="459">
        <f t="shared" si="2"/>
        <v>0.65404522767884654</v>
      </c>
      <c r="AC25" s="455">
        <f t="shared" si="3"/>
        <v>7256</v>
      </c>
      <c r="AD25" s="460"/>
      <c r="AE25" s="461" t="str">
        <f t="shared" si="4"/>
        <v>otro</v>
      </c>
      <c r="AF25" s="462" t="str">
        <f t="shared" si="5"/>
        <v>PRI-PVEM-NA</v>
      </c>
      <c r="AG25" s="124" t="str">
        <f t="shared" si="6"/>
        <v>PRI-PVEM-NA</v>
      </c>
      <c r="AH25" s="119">
        <f t="shared" si="7"/>
        <v>7256</v>
      </c>
      <c r="AI25" s="463">
        <f t="shared" si="8"/>
        <v>0.34179659899194498</v>
      </c>
      <c r="AJ25" s="464">
        <f>RANK(G25,($G25,$I25,$J25,$L25,$N25,$O25,$P25,$Q25,$W25,$X25,$Y25,$Z25,$AC25))</f>
        <v>3</v>
      </c>
      <c r="AK25" s="465"/>
      <c r="AL25" s="466">
        <f>RANK(I25,($G25,$I25,$J25,$L25,$N25,$O25,$P25,$Q25,$W25,$X25,$Y25,$Z25,$AC25))</f>
        <v>6</v>
      </c>
      <c r="AM25" s="466">
        <f>RANK(J25,($G25,$I25,$J25,$L25,$N25,$O25,$P25,$Q25,$W25,$X25,$Y25,$Z25,$AC25))</f>
        <v>2</v>
      </c>
      <c r="AN25" s="457"/>
      <c r="AO25" s="466">
        <f>RANK(L25,($G25,$I25,$J25,$L25,$N25,$O25,$P25,$Q25,$W25,$X25,$Y25,$Z25,$AC25))</f>
        <v>8</v>
      </c>
      <c r="AP25" s="457"/>
      <c r="AQ25" s="466">
        <f>RANK(N25,($G25,$I25,$J25,$L25,$N25,$O25,$P25,$Q25,$W25,$X25,$Y25,$Z25,$AC25))</f>
        <v>5</v>
      </c>
      <c r="AR25" s="466">
        <f>RANK(O25,($G25,$I25,$J25,$L25,$N25,$O25,$P25,$Q25,$W25,$X25,$Y25,$Z25,$AC25))</f>
        <v>4</v>
      </c>
      <c r="AS25" s="466">
        <f>RANK(P25,($G25,$I25,$J25,$L25,$N25,$O25,$P25,$Q25,$W25,$X25,$Y25,$Z25,$AC25))</f>
        <v>9</v>
      </c>
      <c r="AT25" s="466">
        <f>RANK(Q25,($G25,$I25,$J25,$L25,$N25,$O25,$P25,$Q25,$W25,$X25,$Y25,$Z25,$AC25))</f>
        <v>10</v>
      </c>
      <c r="AU25" s="457"/>
      <c r="AV25" s="457"/>
      <c r="AW25" s="466">
        <f>RANK(Y25,($G25,$I25,$J25,$L25,$N25,$O25,$P25,$Q25,$W25,$X25,$Y25,$Z25,$AC25))</f>
        <v>11</v>
      </c>
      <c r="AX25" s="466">
        <f>RANK(Z25,($G25,$I25,$J25,$L25,$N25,$O25,$P25,$Q25,$W25,$X25,$Y25,$Z25,$AC25))</f>
        <v>7</v>
      </c>
      <c r="AY25" s="466">
        <f>RANK(AC25,($G25,$I25,$J25,$L25,$N25,$O25,$P25,$Q25,$W25,$X25,$Y25,$Z25,$AC25))</f>
        <v>1</v>
      </c>
      <c r="AZ25" s="460"/>
      <c r="BA25" s="461" t="str">
        <f t="shared" si="9"/>
        <v>PT</v>
      </c>
      <c r="BB25" s="124" t="str">
        <f t="shared" si="10"/>
        <v>ninguno</v>
      </c>
      <c r="BC25" s="124" t="str">
        <f t="shared" si="11"/>
        <v>PT</v>
      </c>
      <c r="BD25" s="119">
        <f t="shared" si="12"/>
        <v>5139</v>
      </c>
      <c r="BE25" s="119" t="str">
        <f t="shared" si="13"/>
        <v>ninguno</v>
      </c>
      <c r="BF25" s="119">
        <f t="shared" si="14"/>
        <v>5139</v>
      </c>
      <c r="BG25" s="467">
        <f t="shared" si="15"/>
        <v>0.24207452070281218</v>
      </c>
      <c r="BH25" s="468">
        <f t="shared" si="16"/>
        <v>2117</v>
      </c>
      <c r="BI25" s="467">
        <f t="shared" si="16"/>
        <v>9.9722078289132793E-2</v>
      </c>
    </row>
    <row r="26" spans="1:61">
      <c r="A26" s="434">
        <v>19</v>
      </c>
      <c r="B26" s="435" t="s">
        <v>45</v>
      </c>
      <c r="C26" s="436">
        <v>22525</v>
      </c>
      <c r="D26" s="434">
        <v>37</v>
      </c>
      <c r="E26" s="434">
        <v>37</v>
      </c>
      <c r="F26" s="437">
        <f t="shared" si="0"/>
        <v>1</v>
      </c>
      <c r="G26" s="455">
        <v>2692</v>
      </c>
      <c r="H26" s="456">
        <v>2458</v>
      </c>
      <c r="I26" s="456">
        <v>3368</v>
      </c>
      <c r="J26" s="456">
        <v>691</v>
      </c>
      <c r="K26" s="456">
        <v>57</v>
      </c>
      <c r="L26" s="456">
        <v>538</v>
      </c>
      <c r="M26" s="456">
        <v>85</v>
      </c>
      <c r="N26" s="456">
        <v>587</v>
      </c>
      <c r="O26" s="465"/>
      <c r="P26" s="456">
        <v>521</v>
      </c>
      <c r="Q26" s="465"/>
      <c r="R26" s="456">
        <v>3</v>
      </c>
      <c r="S26" s="456">
        <v>15</v>
      </c>
      <c r="T26" s="456">
        <v>3</v>
      </c>
      <c r="U26" s="456">
        <v>0</v>
      </c>
      <c r="V26" s="457"/>
      <c r="W26" s="457"/>
      <c r="X26" s="457"/>
      <c r="Y26" s="456">
        <v>2</v>
      </c>
      <c r="Z26" s="456">
        <v>268</v>
      </c>
      <c r="AA26" s="458">
        <f t="shared" si="1"/>
        <v>11288</v>
      </c>
      <c r="AB26" s="459">
        <f t="shared" si="2"/>
        <v>0.50113207547169814</v>
      </c>
      <c r="AC26" s="455">
        <f t="shared" si="3"/>
        <v>2621</v>
      </c>
      <c r="AD26" s="460"/>
      <c r="AE26" s="461" t="str">
        <f t="shared" si="4"/>
        <v>PRD</v>
      </c>
      <c r="AF26" s="462" t="str">
        <f t="shared" si="5"/>
        <v>ninguno</v>
      </c>
      <c r="AG26" s="124" t="str">
        <f t="shared" si="6"/>
        <v>PRD</v>
      </c>
      <c r="AH26" s="119">
        <f t="shared" si="7"/>
        <v>3368</v>
      </c>
      <c r="AI26" s="463">
        <f t="shared" si="8"/>
        <v>0.29836995038979447</v>
      </c>
      <c r="AJ26" s="464">
        <f>RANK(G26,($G26,$I26,$J26,$L26,$N26,$O26,$P26,$Q26,$W26,$X26,$Y26,$Z26,$AC26))</f>
        <v>2</v>
      </c>
      <c r="AK26" s="465"/>
      <c r="AL26" s="466">
        <f>RANK(I26,($G26,$I26,$J26,$L26,$N26,$O26,$P26,$Q26,$W26,$X26,$Y26,$Z26,$AC26))</f>
        <v>1</v>
      </c>
      <c r="AM26" s="466">
        <f>RANK(J26,($G26,$I26,$J26,$L26,$N26,$O26,$P26,$Q26,$W26,$X26,$Y26,$Z26,$AC26))</f>
        <v>4</v>
      </c>
      <c r="AN26" s="457"/>
      <c r="AO26" s="466">
        <f>RANK(L26,($G26,$I26,$J26,$L26,$N26,$O26,$P26,$Q26,$W26,$X26,$Y26,$Z26,$AC26))</f>
        <v>6</v>
      </c>
      <c r="AP26" s="457"/>
      <c r="AQ26" s="466">
        <f>RANK(N26,($G26,$I26,$J26,$L26,$N26,$O26,$P26,$Q26,$W26,$X26,$Y26,$Z26,$AC26))</f>
        <v>5</v>
      </c>
      <c r="AR26" s="457"/>
      <c r="AS26" s="466">
        <f>RANK(P26,($G26,$I26,$J26,$L26,$N26,$O26,$P26,$Q26,$W26,$X26,$Y26,$Z26,$AC26))</f>
        <v>7</v>
      </c>
      <c r="AT26" s="457"/>
      <c r="AU26" s="457"/>
      <c r="AV26" s="457"/>
      <c r="AW26" s="466">
        <f>RANK(Y26,($G26,$I26,$J26,$L26,$N26,$O26,$P26,$Q26,$W26,$X26,$Y26,$Z26,$AC26))</f>
        <v>9</v>
      </c>
      <c r="AX26" s="466">
        <f>RANK(Z26,($G26,$I26,$J26,$L26,$N26,$O26,$P26,$Q26,$W26,$X26,$Y26,$Z26,$AC26))</f>
        <v>8</v>
      </c>
      <c r="AY26" s="466">
        <f>RANK(AC26,($G26,$I26,$J26,$L26,$N26,$O26,$P26,$Q26,$W26,$X26,$Y26,$Z26,$AC26))</f>
        <v>3</v>
      </c>
      <c r="AZ26" s="460"/>
      <c r="BA26" s="461" t="str">
        <f t="shared" si="9"/>
        <v>PAN</v>
      </c>
      <c r="BB26" s="124" t="str">
        <f t="shared" si="10"/>
        <v>ninguno</v>
      </c>
      <c r="BC26" s="124" t="str">
        <f t="shared" si="11"/>
        <v>PAN</v>
      </c>
      <c r="BD26" s="119">
        <f t="shared" si="12"/>
        <v>2692</v>
      </c>
      <c r="BE26" s="119" t="str">
        <f t="shared" si="13"/>
        <v>ninguno</v>
      </c>
      <c r="BF26" s="119">
        <f t="shared" si="14"/>
        <v>2692</v>
      </c>
      <c r="BG26" s="467">
        <f t="shared" si="15"/>
        <v>0.23848334514528702</v>
      </c>
      <c r="BH26" s="468">
        <f t="shared" si="16"/>
        <v>676</v>
      </c>
      <c r="BI26" s="467">
        <f t="shared" si="16"/>
        <v>5.9886605244507451E-2</v>
      </c>
    </row>
    <row r="27" spans="1:61" ht="25.5">
      <c r="A27" s="434">
        <v>20</v>
      </c>
      <c r="B27" s="435" t="s">
        <v>694</v>
      </c>
      <c r="C27" s="436">
        <v>215406</v>
      </c>
      <c r="D27" s="434">
        <v>339</v>
      </c>
      <c r="E27" s="434">
        <v>339</v>
      </c>
      <c r="F27" s="437">
        <f t="shared" si="0"/>
        <v>1</v>
      </c>
      <c r="G27" s="455">
        <v>19911</v>
      </c>
      <c r="H27" s="456">
        <v>23763</v>
      </c>
      <c r="I27" s="456">
        <v>20920</v>
      </c>
      <c r="J27" s="456">
        <v>1402</v>
      </c>
      <c r="K27" s="456">
        <v>3719</v>
      </c>
      <c r="L27" s="456">
        <v>4421</v>
      </c>
      <c r="M27" s="456">
        <v>2590</v>
      </c>
      <c r="N27" s="456">
        <v>11950</v>
      </c>
      <c r="O27" s="456">
        <v>2696</v>
      </c>
      <c r="P27" s="456">
        <v>6707</v>
      </c>
      <c r="Q27" s="456">
        <v>649</v>
      </c>
      <c r="R27" s="456">
        <v>233</v>
      </c>
      <c r="S27" s="456">
        <v>477</v>
      </c>
      <c r="T27" s="456">
        <v>25</v>
      </c>
      <c r="U27" s="456">
        <v>14</v>
      </c>
      <c r="V27" s="457"/>
      <c r="W27" s="457"/>
      <c r="X27" s="457"/>
      <c r="Y27" s="456">
        <v>208</v>
      </c>
      <c r="Z27" s="456">
        <v>4240</v>
      </c>
      <c r="AA27" s="458">
        <f t="shared" si="1"/>
        <v>103925</v>
      </c>
      <c r="AB27" s="459">
        <f t="shared" si="2"/>
        <v>0.48246102708373956</v>
      </c>
      <c r="AC27" s="455">
        <f t="shared" si="3"/>
        <v>30821</v>
      </c>
      <c r="AD27" s="460"/>
      <c r="AE27" s="461" t="str">
        <f t="shared" si="4"/>
        <v>otro</v>
      </c>
      <c r="AF27" s="462" t="str">
        <f t="shared" si="5"/>
        <v>PRI-PVEM-NA</v>
      </c>
      <c r="AG27" s="124" t="str">
        <f t="shared" si="6"/>
        <v>PRI-PVEM-NA</v>
      </c>
      <c r="AH27" s="119">
        <f t="shared" si="7"/>
        <v>30821</v>
      </c>
      <c r="AI27" s="463">
        <f t="shared" si="8"/>
        <v>0.29656964156843879</v>
      </c>
      <c r="AJ27" s="464">
        <f>RANK(G27,($G27,$I27,$J27,$L27,$N27,$O27,$P27,$Q27,$W27,$X27,$Y27,$Z27,$AC27))</f>
        <v>3</v>
      </c>
      <c r="AK27" s="465"/>
      <c r="AL27" s="466">
        <f>RANK(I27,($G27,$I27,$J27,$L27,$N27,$O27,$P27,$Q27,$W27,$X27,$Y27,$Z27,$AC27))</f>
        <v>2</v>
      </c>
      <c r="AM27" s="466">
        <f>RANK(J27,($G27,$I27,$J27,$L27,$N27,$O27,$P27,$Q27,$W27,$X27,$Y27,$Z27,$AC27))</f>
        <v>9</v>
      </c>
      <c r="AN27" s="457"/>
      <c r="AO27" s="466">
        <f>RANK(L27,($G27,$I27,$J27,$L27,$N27,$O27,$P27,$Q27,$W27,$X27,$Y27,$Z27,$AC27))</f>
        <v>6</v>
      </c>
      <c r="AP27" s="457"/>
      <c r="AQ27" s="466">
        <f>RANK(N27,($G27,$I27,$J27,$L27,$N27,$O27,$P27,$Q27,$W27,$X27,$Y27,$Z27,$AC27))</f>
        <v>4</v>
      </c>
      <c r="AR27" s="466">
        <f>RANK(O27,($G27,$I27,$J27,$L27,$N27,$O27,$P27,$Q27,$W27,$X27,$Y27,$Z27,$AC27))</f>
        <v>8</v>
      </c>
      <c r="AS27" s="466">
        <f>RANK(P27,($G27,$I27,$J27,$L27,$N27,$O27,$P27,$Q27,$W27,$X27,$Y27,$Z27,$AC27))</f>
        <v>5</v>
      </c>
      <c r="AT27" s="466">
        <f>RANK(Q27,($G27,$I27,$J27,$L27,$N27,$O27,$P27,$Q27,$W27,$X27,$Y27,$Z27,$AC27))</f>
        <v>10</v>
      </c>
      <c r="AU27" s="457"/>
      <c r="AV27" s="457"/>
      <c r="AW27" s="466">
        <f>RANK(Y27,($G27,$I27,$J27,$L27,$N27,$O27,$P27,$Q27,$W27,$X27,$Y27,$Z27,$AC27))</f>
        <v>11</v>
      </c>
      <c r="AX27" s="466">
        <f>RANK(Z27,($G27,$I27,$J27,$L27,$N27,$O27,$P27,$Q27,$W27,$X27,$Y27,$Z27,$AC27))</f>
        <v>7</v>
      </c>
      <c r="AY27" s="466">
        <f>RANK(AC27,($G27,$I27,$J27,$L27,$N27,$O27,$P27,$Q27,$W27,$X27,$Y27,$Z27,$AC27))</f>
        <v>1</v>
      </c>
      <c r="AZ27" s="460"/>
      <c r="BA27" s="461" t="str">
        <f t="shared" si="9"/>
        <v>PRD</v>
      </c>
      <c r="BB27" s="124" t="str">
        <f t="shared" si="10"/>
        <v>ninguno</v>
      </c>
      <c r="BC27" s="124" t="str">
        <f t="shared" si="11"/>
        <v>PRD</v>
      </c>
      <c r="BD27" s="119">
        <f t="shared" si="12"/>
        <v>20920</v>
      </c>
      <c r="BE27" s="119" t="str">
        <f t="shared" si="13"/>
        <v>ninguno</v>
      </c>
      <c r="BF27" s="119">
        <f t="shared" si="14"/>
        <v>20920</v>
      </c>
      <c r="BG27" s="467">
        <f t="shared" si="15"/>
        <v>0.20129901371181141</v>
      </c>
      <c r="BH27" s="468">
        <f t="shared" si="16"/>
        <v>9901</v>
      </c>
      <c r="BI27" s="467">
        <f t="shared" si="16"/>
        <v>9.5270627856627377E-2</v>
      </c>
    </row>
    <row r="28" spans="1:61">
      <c r="A28" s="434">
        <v>21</v>
      </c>
      <c r="B28" s="435" t="s">
        <v>46</v>
      </c>
      <c r="C28" s="436">
        <v>24805</v>
      </c>
      <c r="D28" s="434">
        <v>47</v>
      </c>
      <c r="E28" s="434">
        <v>47</v>
      </c>
      <c r="F28" s="437">
        <f t="shared" si="0"/>
        <v>1</v>
      </c>
      <c r="G28" s="455">
        <v>3451</v>
      </c>
      <c r="H28" s="456">
        <v>8605</v>
      </c>
      <c r="I28" s="456">
        <v>336</v>
      </c>
      <c r="J28" s="456">
        <v>3080</v>
      </c>
      <c r="K28" s="456">
        <v>58</v>
      </c>
      <c r="L28" s="457"/>
      <c r="M28" s="456">
        <v>66</v>
      </c>
      <c r="N28" s="456">
        <v>1432</v>
      </c>
      <c r="O28" s="465"/>
      <c r="P28" s="465"/>
      <c r="Q28" s="456">
        <v>29</v>
      </c>
      <c r="R28" s="456">
        <v>29</v>
      </c>
      <c r="S28" s="456">
        <v>74</v>
      </c>
      <c r="T28" s="456">
        <v>5</v>
      </c>
      <c r="U28" s="456">
        <v>3</v>
      </c>
      <c r="V28" s="457"/>
      <c r="W28" s="457"/>
      <c r="X28" s="457"/>
      <c r="Y28" s="456">
        <v>1</v>
      </c>
      <c r="Z28" s="456">
        <v>366</v>
      </c>
      <c r="AA28" s="458">
        <f t="shared" si="1"/>
        <v>17535</v>
      </c>
      <c r="AB28" s="459">
        <f t="shared" si="2"/>
        <v>0.70691392864341862</v>
      </c>
      <c r="AC28" s="455">
        <f t="shared" si="3"/>
        <v>8840</v>
      </c>
      <c r="AD28" s="460"/>
      <c r="AE28" s="461" t="str">
        <f t="shared" si="4"/>
        <v>otro</v>
      </c>
      <c r="AF28" s="462" t="str">
        <f t="shared" si="5"/>
        <v>PRI-PVEM-NA</v>
      </c>
      <c r="AG28" s="124" t="str">
        <f t="shared" si="6"/>
        <v>PRI-PVEM-NA</v>
      </c>
      <c r="AH28" s="119">
        <f t="shared" si="7"/>
        <v>8840</v>
      </c>
      <c r="AI28" s="463">
        <f t="shared" si="8"/>
        <v>0.50413458796692334</v>
      </c>
      <c r="AJ28" s="464">
        <f>RANK(G28,($G28,$I28,$J28,$L28,$N28,$O28,$P28,$Q28,$W28,$X28,$Y28,$Z28,$AC28))</f>
        <v>2</v>
      </c>
      <c r="AK28" s="465"/>
      <c r="AL28" s="466">
        <f>RANK(I28,($G28,$I28,$J28,$L28,$N28,$O28,$P28,$Q28,$W28,$X28,$Y28,$Z28,$AC28))</f>
        <v>6</v>
      </c>
      <c r="AM28" s="466">
        <f>RANK(J28,($G28,$I28,$J28,$L28,$N28,$O28,$P28,$Q28,$W28,$X28,$Y28,$Z28,$AC28))</f>
        <v>3</v>
      </c>
      <c r="AN28" s="457"/>
      <c r="AO28" s="457"/>
      <c r="AP28" s="457"/>
      <c r="AQ28" s="466">
        <f>RANK(N28,($G28,$I28,$J28,$L28,$N28,$O28,$P28,$Q28,$W28,$X28,$Y28,$Z28,$AC28))</f>
        <v>4</v>
      </c>
      <c r="AR28" s="457"/>
      <c r="AS28" s="457"/>
      <c r="AT28" s="466">
        <f>RANK(Q28,($G28,$I28,$J28,$L28,$N28,$O28,$P28,$Q28,$W28,$X28,$Y28,$Z28,$AC28))</f>
        <v>7</v>
      </c>
      <c r="AU28" s="457"/>
      <c r="AV28" s="457"/>
      <c r="AW28" s="466">
        <f>RANK(Y28,($G28,$I28,$J28,$L28,$N28,$O28,$P28,$Q28,$W28,$X28,$Y28,$Z28,$AC28))</f>
        <v>8</v>
      </c>
      <c r="AX28" s="466">
        <f>RANK(Z28,($G28,$I28,$J28,$L28,$N28,$O28,$P28,$Q28,$W28,$X28,$Y28,$Z28,$AC28))</f>
        <v>5</v>
      </c>
      <c r="AY28" s="466">
        <f>RANK(AC28,($G28,$I28,$J28,$L28,$N28,$O28,$P28,$Q28,$W28,$X28,$Y28,$Z28,$AC28))</f>
        <v>1</v>
      </c>
      <c r="AZ28" s="460"/>
      <c r="BA28" s="461" t="str">
        <f t="shared" si="9"/>
        <v>PAN</v>
      </c>
      <c r="BB28" s="124" t="str">
        <f t="shared" si="10"/>
        <v>ninguno</v>
      </c>
      <c r="BC28" s="124" t="str">
        <f t="shared" si="11"/>
        <v>PAN</v>
      </c>
      <c r="BD28" s="119">
        <f t="shared" si="12"/>
        <v>3451</v>
      </c>
      <c r="BE28" s="119" t="str">
        <f t="shared" si="13"/>
        <v>ninguno</v>
      </c>
      <c r="BF28" s="119">
        <f t="shared" si="14"/>
        <v>3451</v>
      </c>
      <c r="BG28" s="467">
        <f t="shared" si="15"/>
        <v>0.19680638722554891</v>
      </c>
      <c r="BH28" s="468">
        <f t="shared" si="16"/>
        <v>5389</v>
      </c>
      <c r="BI28" s="467">
        <f t="shared" si="16"/>
        <v>0.30732820074137446</v>
      </c>
    </row>
    <row r="29" spans="1:61">
      <c r="A29" s="434">
        <v>22</v>
      </c>
      <c r="B29" s="435" t="s">
        <v>47</v>
      </c>
      <c r="C29" s="436">
        <v>10609</v>
      </c>
      <c r="D29" s="434">
        <v>17</v>
      </c>
      <c r="E29" s="434">
        <v>17</v>
      </c>
      <c r="F29" s="437">
        <f t="shared" si="0"/>
        <v>1</v>
      </c>
      <c r="G29" s="455">
        <v>556</v>
      </c>
      <c r="H29" s="456">
        <v>2027</v>
      </c>
      <c r="I29" s="456">
        <v>2369</v>
      </c>
      <c r="J29" s="456">
        <v>644</v>
      </c>
      <c r="K29" s="456">
        <v>22</v>
      </c>
      <c r="L29" s="456">
        <v>453</v>
      </c>
      <c r="M29" s="456">
        <v>26</v>
      </c>
      <c r="N29" s="456">
        <v>260</v>
      </c>
      <c r="O29" s="456">
        <v>387</v>
      </c>
      <c r="P29" s="456">
        <v>299</v>
      </c>
      <c r="Q29" s="456">
        <v>234</v>
      </c>
      <c r="R29" s="456">
        <v>9</v>
      </c>
      <c r="S29" s="456">
        <v>7</v>
      </c>
      <c r="T29" s="456">
        <v>0</v>
      </c>
      <c r="U29" s="456">
        <v>2</v>
      </c>
      <c r="V29" s="457"/>
      <c r="W29" s="457"/>
      <c r="X29" s="457"/>
      <c r="Y29" s="456">
        <v>2</v>
      </c>
      <c r="Z29" s="456">
        <v>104</v>
      </c>
      <c r="AA29" s="458">
        <f t="shared" si="1"/>
        <v>7401</v>
      </c>
      <c r="AB29" s="459">
        <f t="shared" si="2"/>
        <v>0.69761523234989165</v>
      </c>
      <c r="AC29" s="455">
        <f t="shared" si="3"/>
        <v>2093</v>
      </c>
      <c r="AD29" s="460"/>
      <c r="AE29" s="461" t="str">
        <f t="shared" si="4"/>
        <v>PRD</v>
      </c>
      <c r="AF29" s="462" t="str">
        <f t="shared" si="5"/>
        <v>ninguno</v>
      </c>
      <c r="AG29" s="124" t="str">
        <f t="shared" si="6"/>
        <v>PRD</v>
      </c>
      <c r="AH29" s="119">
        <f t="shared" si="7"/>
        <v>2369</v>
      </c>
      <c r="AI29" s="463">
        <f t="shared" si="8"/>
        <v>0.32009187947574652</v>
      </c>
      <c r="AJ29" s="464">
        <f>RANK(G29,($G29,$I29,$J29,$L29,$N29,$O29,$P29,$Q29,$W29,$X29,$Y29,$Z29,$AC29))</f>
        <v>4</v>
      </c>
      <c r="AK29" s="465"/>
      <c r="AL29" s="466">
        <f>RANK(I29,($G29,$I29,$J29,$L29,$N29,$O29,$P29,$Q29,$W29,$X29,$Y29,$Z29,$AC29))</f>
        <v>1</v>
      </c>
      <c r="AM29" s="466">
        <f>RANK(J29,($G29,$I29,$J29,$L29,$N29,$O29,$P29,$Q29,$W29,$X29,$Y29,$Z29,$AC29))</f>
        <v>3</v>
      </c>
      <c r="AN29" s="457"/>
      <c r="AO29" s="466">
        <f>RANK(L29,($G29,$I29,$J29,$L29,$N29,$O29,$P29,$Q29,$W29,$X29,$Y29,$Z29,$AC29))</f>
        <v>5</v>
      </c>
      <c r="AP29" s="457"/>
      <c r="AQ29" s="466">
        <f>RANK(N29,($G29,$I29,$J29,$L29,$N29,$O29,$P29,$Q29,$W29,$X29,$Y29,$Z29,$AC29))</f>
        <v>8</v>
      </c>
      <c r="AR29" s="466">
        <f>RANK(O29,($G29,$I29,$J29,$L29,$N29,$O29,$P29,$Q29,$W29,$X29,$Y29,$Z29,$AC29))</f>
        <v>6</v>
      </c>
      <c r="AS29" s="466">
        <f>RANK(P29,($G29,$I29,$J29,$L29,$N29,$O29,$P29,$Q29,$W29,$X29,$Y29,$Z29,$AC29))</f>
        <v>7</v>
      </c>
      <c r="AT29" s="466">
        <f>RANK(Q29,($G29,$I29,$J29,$L29,$N29,$O29,$P29,$Q29,$W29,$X29,$Y29,$Z29,$AC29))</f>
        <v>9</v>
      </c>
      <c r="AU29" s="457"/>
      <c r="AV29" s="457"/>
      <c r="AW29" s="466">
        <f>RANK(Y29,($G29,$I29,$J29,$L29,$N29,$O29,$P29,$Q29,$W29,$X29,$Y29,$Z29,$AC29))</f>
        <v>11</v>
      </c>
      <c r="AX29" s="466">
        <f>RANK(Z29,($G29,$I29,$J29,$L29,$N29,$O29,$P29,$Q29,$W29,$X29,$Y29,$Z29,$AC29))</f>
        <v>10</v>
      </c>
      <c r="AY29" s="466">
        <f>RANK(AC29,($G29,$I29,$J29,$L29,$N29,$O29,$P29,$Q29,$W29,$X29,$Y29,$Z29,$AC29))</f>
        <v>2</v>
      </c>
      <c r="AZ29" s="460"/>
      <c r="BA29" s="461" t="str">
        <f t="shared" si="9"/>
        <v>otro</v>
      </c>
      <c r="BB29" s="124" t="str">
        <f t="shared" si="10"/>
        <v>PRI-PVEM-NA</v>
      </c>
      <c r="BC29" s="124" t="str">
        <f t="shared" si="11"/>
        <v>PRI-PVEM-NA</v>
      </c>
      <c r="BD29" s="119" t="str">
        <f t="shared" si="12"/>
        <v>otro</v>
      </c>
      <c r="BE29" s="119">
        <f t="shared" si="13"/>
        <v>2093</v>
      </c>
      <c r="BF29" s="119">
        <f t="shared" si="14"/>
        <v>2093</v>
      </c>
      <c r="BG29" s="467">
        <f t="shared" si="15"/>
        <v>0.28279962167274691</v>
      </c>
      <c r="BH29" s="468">
        <f t="shared" si="16"/>
        <v>276</v>
      </c>
      <c r="BI29" s="467">
        <f t="shared" si="16"/>
        <v>3.7292257802999607E-2</v>
      </c>
    </row>
    <row r="30" spans="1:61">
      <c r="A30" s="434">
        <v>23</v>
      </c>
      <c r="B30" s="435" t="s">
        <v>48</v>
      </c>
      <c r="C30" s="436">
        <v>33615</v>
      </c>
      <c r="D30" s="434">
        <v>51</v>
      </c>
      <c r="E30" s="434">
        <v>51</v>
      </c>
      <c r="F30" s="437">
        <f t="shared" si="0"/>
        <v>1</v>
      </c>
      <c r="G30" s="455">
        <v>4458</v>
      </c>
      <c r="H30" s="456">
        <v>2973</v>
      </c>
      <c r="I30" s="456">
        <v>1141</v>
      </c>
      <c r="J30" s="456">
        <v>1148</v>
      </c>
      <c r="K30" s="456">
        <v>114</v>
      </c>
      <c r="L30" s="456">
        <v>1820</v>
      </c>
      <c r="M30" s="456">
        <v>174</v>
      </c>
      <c r="N30" s="456">
        <v>659</v>
      </c>
      <c r="O30" s="456">
        <v>1501</v>
      </c>
      <c r="P30" s="456">
        <v>1479</v>
      </c>
      <c r="Q30" s="456">
        <v>1009</v>
      </c>
      <c r="R30" s="456">
        <v>12</v>
      </c>
      <c r="S30" s="456">
        <v>22</v>
      </c>
      <c r="T30" s="456">
        <v>1</v>
      </c>
      <c r="U30" s="456">
        <v>1</v>
      </c>
      <c r="V30" s="457"/>
      <c r="W30" s="457"/>
      <c r="X30" s="457"/>
      <c r="Y30" s="456">
        <v>8</v>
      </c>
      <c r="Z30" s="456">
        <v>357</v>
      </c>
      <c r="AA30" s="458">
        <f t="shared" si="1"/>
        <v>16877</v>
      </c>
      <c r="AB30" s="459">
        <f t="shared" si="2"/>
        <v>0.50206752937676635</v>
      </c>
      <c r="AC30" s="455">
        <f t="shared" si="3"/>
        <v>3297</v>
      </c>
      <c r="AD30" s="460"/>
      <c r="AE30" s="461" t="str">
        <f t="shared" si="4"/>
        <v>PAN</v>
      </c>
      <c r="AF30" s="462" t="str">
        <f t="shared" si="5"/>
        <v>ninguno</v>
      </c>
      <c r="AG30" s="124" t="str">
        <f t="shared" si="6"/>
        <v>PAN</v>
      </c>
      <c r="AH30" s="119">
        <f t="shared" si="7"/>
        <v>4458</v>
      </c>
      <c r="AI30" s="463">
        <f t="shared" si="8"/>
        <v>0.26414647152930021</v>
      </c>
      <c r="AJ30" s="464">
        <f>RANK(G30,($G30,$I30,$J30,$L30,$N30,$O30,$P30,$Q30,$W30,$X30,$Y30,$Z30,$AC30))</f>
        <v>1</v>
      </c>
      <c r="AK30" s="465"/>
      <c r="AL30" s="466">
        <f>RANK(I30,($G30,$I30,$J30,$L30,$N30,$O30,$P30,$Q30,$W30,$X30,$Y30,$Z30,$AC30))</f>
        <v>7</v>
      </c>
      <c r="AM30" s="466">
        <f>RANK(J30,($G30,$I30,$J30,$L30,$N30,$O30,$P30,$Q30,$W30,$X30,$Y30,$Z30,$AC30))</f>
        <v>6</v>
      </c>
      <c r="AN30" s="457"/>
      <c r="AO30" s="466">
        <f>RANK(L30,($G30,$I30,$J30,$L30,$N30,$O30,$P30,$Q30,$W30,$X30,$Y30,$Z30,$AC30))</f>
        <v>3</v>
      </c>
      <c r="AP30" s="457"/>
      <c r="AQ30" s="466">
        <f>RANK(N30,($G30,$I30,$J30,$L30,$N30,$O30,$P30,$Q30,$W30,$X30,$Y30,$Z30,$AC30))</f>
        <v>9</v>
      </c>
      <c r="AR30" s="466">
        <f>RANK(O30,($G30,$I30,$J30,$L30,$N30,$O30,$P30,$Q30,$W30,$X30,$Y30,$Z30,$AC30))</f>
        <v>4</v>
      </c>
      <c r="AS30" s="466">
        <f>RANK(P30,($G30,$I30,$J30,$L30,$N30,$O30,$P30,$Q30,$W30,$X30,$Y30,$Z30,$AC30))</f>
        <v>5</v>
      </c>
      <c r="AT30" s="466">
        <f>RANK(Q30,($G30,$I30,$J30,$L30,$N30,$O30,$P30,$Q30,$W30,$X30,$Y30,$Z30,$AC30))</f>
        <v>8</v>
      </c>
      <c r="AU30" s="457"/>
      <c r="AV30" s="457"/>
      <c r="AW30" s="466">
        <f>RANK(Y30,($G30,$I30,$J30,$L30,$N30,$O30,$P30,$Q30,$W30,$X30,$Y30,$Z30,$AC30))</f>
        <v>11</v>
      </c>
      <c r="AX30" s="466">
        <f>RANK(Z30,($G30,$I30,$J30,$L30,$N30,$O30,$P30,$Q30,$W30,$X30,$Y30,$Z30,$AC30))</f>
        <v>10</v>
      </c>
      <c r="AY30" s="466">
        <f>RANK(AC30,($G30,$I30,$J30,$L30,$N30,$O30,$P30,$Q30,$W30,$X30,$Y30,$Z30,$AC30))</f>
        <v>2</v>
      </c>
      <c r="AZ30" s="460"/>
      <c r="BA30" s="461" t="str">
        <f t="shared" si="9"/>
        <v>otro</v>
      </c>
      <c r="BB30" s="124" t="str">
        <f t="shared" si="10"/>
        <v>PRI-PVEM-NA</v>
      </c>
      <c r="BC30" s="124" t="str">
        <f t="shared" si="11"/>
        <v>PRI-PVEM-NA</v>
      </c>
      <c r="BD30" s="119" t="str">
        <f t="shared" si="12"/>
        <v>otro</v>
      </c>
      <c r="BE30" s="119">
        <f t="shared" si="13"/>
        <v>3297</v>
      </c>
      <c r="BF30" s="119">
        <f t="shared" si="14"/>
        <v>3297</v>
      </c>
      <c r="BG30" s="467">
        <f t="shared" si="15"/>
        <v>0.19535462463708006</v>
      </c>
      <c r="BH30" s="468">
        <f t="shared" si="16"/>
        <v>1161</v>
      </c>
      <c r="BI30" s="467">
        <f t="shared" si="16"/>
        <v>6.8791846892220149E-2</v>
      </c>
    </row>
    <row r="31" spans="1:61">
      <c r="A31" s="434">
        <v>24</v>
      </c>
      <c r="B31" s="435" t="s">
        <v>49</v>
      </c>
      <c r="C31" s="436">
        <v>72832</v>
      </c>
      <c r="D31" s="434">
        <v>113</v>
      </c>
      <c r="E31" s="434">
        <v>113</v>
      </c>
      <c r="F31" s="437">
        <f t="shared" si="0"/>
        <v>1</v>
      </c>
      <c r="G31" s="455">
        <v>10696</v>
      </c>
      <c r="H31" s="456">
        <v>12570</v>
      </c>
      <c r="I31" s="456">
        <v>2839</v>
      </c>
      <c r="J31" s="456">
        <v>1729</v>
      </c>
      <c r="K31" s="456">
        <v>531</v>
      </c>
      <c r="L31" s="456">
        <v>876</v>
      </c>
      <c r="M31" s="456">
        <v>768</v>
      </c>
      <c r="N31" s="456">
        <v>2850</v>
      </c>
      <c r="O31" s="465"/>
      <c r="P31" s="456">
        <v>1588</v>
      </c>
      <c r="Q31" s="465"/>
      <c r="R31" s="456">
        <v>19</v>
      </c>
      <c r="S31" s="456">
        <v>123</v>
      </c>
      <c r="T31" s="456">
        <v>4</v>
      </c>
      <c r="U31" s="456">
        <v>3</v>
      </c>
      <c r="V31" s="457"/>
      <c r="W31" s="456">
        <v>0</v>
      </c>
      <c r="X31" s="457"/>
      <c r="Y31" s="456">
        <v>846</v>
      </c>
      <c r="Z31" s="456">
        <v>1239</v>
      </c>
      <c r="AA31" s="458">
        <f t="shared" si="1"/>
        <v>36681</v>
      </c>
      <c r="AB31" s="459">
        <f t="shared" si="2"/>
        <v>0.50363851054481545</v>
      </c>
      <c r="AC31" s="455">
        <f t="shared" si="3"/>
        <v>14018</v>
      </c>
      <c r="AD31" s="460"/>
      <c r="AE31" s="461" t="str">
        <f t="shared" si="4"/>
        <v>otro</v>
      </c>
      <c r="AF31" s="462" t="str">
        <f t="shared" si="5"/>
        <v>PRI-PVEM-NA</v>
      </c>
      <c r="AG31" s="124" t="str">
        <f t="shared" si="6"/>
        <v>PRI-PVEM-NA</v>
      </c>
      <c r="AH31" s="119">
        <f t="shared" si="7"/>
        <v>14018</v>
      </c>
      <c r="AI31" s="463">
        <f t="shared" si="8"/>
        <v>0.3821597012077097</v>
      </c>
      <c r="AJ31" s="464">
        <f>RANK(G31,($G31,$I31,$J31,$L31,$N31,$O31,$P31,$Q31,$W31,$X31,$Y31,$Z31,$AC31))</f>
        <v>2</v>
      </c>
      <c r="AK31" s="465"/>
      <c r="AL31" s="466">
        <f>RANK(I31,($G31,$I31,$J31,$L31,$N31,$O31,$P31,$Q31,$W31,$X31,$Y31,$Z31,$AC31))</f>
        <v>4</v>
      </c>
      <c r="AM31" s="466">
        <f>RANK(J31,($G31,$I31,$J31,$L31,$N31,$O31,$P31,$Q31,$W31,$X31,$Y31,$Z31,$AC31))</f>
        <v>5</v>
      </c>
      <c r="AN31" s="457"/>
      <c r="AO31" s="466">
        <f>RANK(L31,($G31,$I31,$J31,$L31,$N31,$O31,$P31,$Q31,$W31,$X31,$Y31,$Z31,$AC31))</f>
        <v>8</v>
      </c>
      <c r="AP31" s="457"/>
      <c r="AQ31" s="466">
        <f>RANK(N31,($G31,$I31,$J31,$L31,$N31,$O31,$P31,$Q31,$W31,$X31,$Y31,$Z31,$AC31))</f>
        <v>3</v>
      </c>
      <c r="AR31" s="457"/>
      <c r="AS31" s="466">
        <f>RANK(P31,($G31,$I31,$J31,$L31,$N31,$O31,$P31,$Q31,$W31,$X31,$Y31,$Z31,$AC31))</f>
        <v>6</v>
      </c>
      <c r="AT31" s="457"/>
      <c r="AU31" s="466"/>
      <c r="AV31" s="457"/>
      <c r="AW31" s="466">
        <f>RANK(Y31,($G31,$I31,$J31,$L31,$N31,$O31,$P31,$Q31,$W31,$X31,$Y31,$Z31,$AC31))</f>
        <v>9</v>
      </c>
      <c r="AX31" s="466">
        <f>RANK(Z31,($G31,$I31,$J31,$L31,$N31,$O31,$P31,$Q31,$W31,$X31,$Y31,$Z31,$AC31))</f>
        <v>7</v>
      </c>
      <c r="AY31" s="466">
        <f>RANK(AC31,($G31,$I31,$J31,$L31,$N31,$O31,$P31,$Q31,$W31,$X31,$Y31,$Z31,$AC31))</f>
        <v>1</v>
      </c>
      <c r="AZ31" s="460"/>
      <c r="BA31" s="461" t="str">
        <f t="shared" si="9"/>
        <v>PAN</v>
      </c>
      <c r="BB31" s="124" t="str">
        <f t="shared" si="10"/>
        <v>ninguno</v>
      </c>
      <c r="BC31" s="124" t="str">
        <f t="shared" si="11"/>
        <v>PAN</v>
      </c>
      <c r="BD31" s="119">
        <f t="shared" si="12"/>
        <v>10696</v>
      </c>
      <c r="BE31" s="119" t="str">
        <f t="shared" si="13"/>
        <v>ninguno</v>
      </c>
      <c r="BF31" s="119">
        <f t="shared" si="14"/>
        <v>10696</v>
      </c>
      <c r="BG31" s="467">
        <f t="shared" si="15"/>
        <v>0.2915951037321774</v>
      </c>
      <c r="BH31" s="468">
        <f t="shared" si="16"/>
        <v>3322</v>
      </c>
      <c r="BI31" s="467">
        <f t="shared" si="16"/>
        <v>9.0564597475532305E-2</v>
      </c>
    </row>
    <row r="32" spans="1:61">
      <c r="A32" s="434">
        <v>25</v>
      </c>
      <c r="B32" s="435" t="s">
        <v>555</v>
      </c>
      <c r="C32" s="436">
        <v>385869</v>
      </c>
      <c r="D32" s="434">
        <v>645</v>
      </c>
      <c r="E32" s="434">
        <v>645</v>
      </c>
      <c r="F32" s="437">
        <f t="shared" si="0"/>
        <v>1</v>
      </c>
      <c r="G32" s="455">
        <v>57148</v>
      </c>
      <c r="H32" s="456">
        <v>57985</v>
      </c>
      <c r="I32" s="456">
        <v>7637</v>
      </c>
      <c r="J32" s="456">
        <v>3560</v>
      </c>
      <c r="K32" s="456">
        <v>4504</v>
      </c>
      <c r="L32" s="456">
        <v>7062</v>
      </c>
      <c r="M32" s="456">
        <v>5347</v>
      </c>
      <c r="N32" s="456">
        <v>21449</v>
      </c>
      <c r="O32" s="456">
        <v>5416</v>
      </c>
      <c r="P32" s="456">
        <v>12067</v>
      </c>
      <c r="Q32" s="456">
        <v>1310</v>
      </c>
      <c r="R32" s="456">
        <v>487</v>
      </c>
      <c r="S32" s="456">
        <v>687</v>
      </c>
      <c r="T32" s="456">
        <v>68</v>
      </c>
      <c r="U32" s="456">
        <v>29</v>
      </c>
      <c r="V32" s="456">
        <v>413</v>
      </c>
      <c r="W32" s="457"/>
      <c r="X32" s="457"/>
      <c r="Y32" s="456">
        <v>354</v>
      </c>
      <c r="Z32" s="456">
        <v>8376</v>
      </c>
      <c r="AA32" s="458">
        <f t="shared" si="1"/>
        <v>193899</v>
      </c>
      <c r="AB32" s="459">
        <f t="shared" si="2"/>
        <v>0.5024995529570917</v>
      </c>
      <c r="AC32" s="455">
        <f t="shared" si="3"/>
        <v>69107</v>
      </c>
      <c r="AD32" s="458">
        <f>G32+J32+V32</f>
        <v>61121</v>
      </c>
      <c r="AE32" s="461" t="str">
        <f t="shared" si="4"/>
        <v>otro</v>
      </c>
      <c r="AF32" s="462" t="str">
        <f t="shared" si="5"/>
        <v>PRI-PVEM-NA</v>
      </c>
      <c r="AG32" s="124" t="str">
        <f t="shared" si="6"/>
        <v>PRI-PVEM-NA</v>
      </c>
      <c r="AH32" s="119">
        <f t="shared" si="7"/>
        <v>69107</v>
      </c>
      <c r="AI32" s="463">
        <f t="shared" si="8"/>
        <v>0.35640720168747647</v>
      </c>
      <c r="AJ32" s="470"/>
      <c r="AK32" s="465"/>
      <c r="AL32" s="466">
        <f>RANK(I32,($I32,$L32,$N32,$O32,$P32,$Q32,$W32,$X32,$Y32,$Z32,$AC32,$AD32))</f>
        <v>6</v>
      </c>
      <c r="AM32" s="465"/>
      <c r="AN32" s="457"/>
      <c r="AO32" s="466">
        <f>RANK(L32,($I32,$L32,$N32,$O32,$P32,$Q32,$W32,$X32,$Y32,$Z32,$AC32,$AD32))</f>
        <v>7</v>
      </c>
      <c r="AP32" s="457"/>
      <c r="AQ32" s="466">
        <f>RANK(N32,($I32,$L32,$N32,$O32,$P32,$Q32,$W32,$X32,$Y32,$Z32,$AC32,$AD32))</f>
        <v>3</v>
      </c>
      <c r="AR32" s="466">
        <f>RANK(O32,($I32,$L32,$N32,$O32,$P32,$Q32,$W32,$X32,$Y32,$Z32,$AC32,$AD32))</f>
        <v>8</v>
      </c>
      <c r="AS32" s="466">
        <f>RANK(P32,($I32,$L32,$N32,$O32,$P32,$Q32,$W32,$X32,$Y32,$Z32,$AC32,$AD32))</f>
        <v>4</v>
      </c>
      <c r="AT32" s="466">
        <f>RANK(Q32,($I32,$L32,$N32,$O32,$P32,$Q32,$W32,$X32,$Y32,$Z32,$AC32,$AD32))</f>
        <v>9</v>
      </c>
      <c r="AU32" s="457"/>
      <c r="AV32" s="457"/>
      <c r="AW32" s="466">
        <f>RANK(Y32,($I32,$L32,$N32,$O32,$P32,$Q32,$W32,$X32,$Y32,$Z32,$AC32,$AD32))</f>
        <v>10</v>
      </c>
      <c r="AX32" s="466">
        <f>RANK(Z32,($I32,$L32,$N32,$O32,$P32,$Q32,$W32,$X32,$Y32,$Z32,$AC32,$AD32))</f>
        <v>5</v>
      </c>
      <c r="AY32" s="466">
        <f>RANK(AC32,($I32,$L32,$N32,$O32,$P32,$Q32,$W32,$X32,$Y32,$Z32,$AC32,$AD32))</f>
        <v>1</v>
      </c>
      <c r="AZ32" s="471">
        <f>RANK(AD32,($I32,$L32,$N32,$O32,$P32,$Q32,$W32,$X32,$Y32,$Z32,$AC32,$AD32))</f>
        <v>2</v>
      </c>
      <c r="BA32" s="461" t="str">
        <f t="shared" si="9"/>
        <v>otro</v>
      </c>
      <c r="BB32" s="124" t="str">
        <f t="shared" si="10"/>
        <v>PAN-PT</v>
      </c>
      <c r="BC32" s="124" t="str">
        <f t="shared" si="11"/>
        <v>PAN-PT</v>
      </c>
      <c r="BD32" s="119" t="str">
        <f t="shared" si="12"/>
        <v>otro</v>
      </c>
      <c r="BE32" s="119">
        <f t="shared" si="13"/>
        <v>61121</v>
      </c>
      <c r="BF32" s="119">
        <f t="shared" si="14"/>
        <v>61121</v>
      </c>
      <c r="BG32" s="467">
        <f t="shared" si="15"/>
        <v>0.31522081083450665</v>
      </c>
      <c r="BH32" s="468">
        <f t="shared" si="16"/>
        <v>7986</v>
      </c>
      <c r="BI32" s="467">
        <f t="shared" si="16"/>
        <v>4.1186390852969823E-2</v>
      </c>
    </row>
    <row r="33" spans="1:61">
      <c r="A33" s="434">
        <v>26</v>
      </c>
      <c r="B33" s="435" t="s">
        <v>51</v>
      </c>
      <c r="C33" s="436">
        <v>211298</v>
      </c>
      <c r="D33" s="434">
        <v>319</v>
      </c>
      <c r="E33" s="434">
        <v>319</v>
      </c>
      <c r="F33" s="437">
        <f t="shared" si="0"/>
        <v>1</v>
      </c>
      <c r="G33" s="455">
        <v>5383</v>
      </c>
      <c r="H33" s="456">
        <v>28337</v>
      </c>
      <c r="I33" s="456">
        <v>19783</v>
      </c>
      <c r="J33" s="456">
        <v>1174</v>
      </c>
      <c r="K33" s="456">
        <v>2234</v>
      </c>
      <c r="L33" s="456">
        <v>14318</v>
      </c>
      <c r="M33" s="456">
        <v>1609</v>
      </c>
      <c r="N33" s="456">
        <v>7281</v>
      </c>
      <c r="O33" s="456">
        <v>1977</v>
      </c>
      <c r="P33" s="456">
        <v>6759</v>
      </c>
      <c r="Q33" s="456">
        <v>571</v>
      </c>
      <c r="R33" s="456">
        <v>82</v>
      </c>
      <c r="S33" s="456">
        <v>354</v>
      </c>
      <c r="T33" s="456">
        <v>28</v>
      </c>
      <c r="U33" s="456">
        <v>11</v>
      </c>
      <c r="V33" s="457"/>
      <c r="W33" s="457"/>
      <c r="X33" s="457"/>
      <c r="Y33" s="456">
        <v>75</v>
      </c>
      <c r="Z33" s="456">
        <v>3890</v>
      </c>
      <c r="AA33" s="458">
        <f t="shared" si="1"/>
        <v>93866</v>
      </c>
      <c r="AB33" s="459">
        <f t="shared" si="2"/>
        <v>0.44423515603555169</v>
      </c>
      <c r="AC33" s="455">
        <f t="shared" si="3"/>
        <v>32655</v>
      </c>
      <c r="AD33" s="460"/>
      <c r="AE33" s="461" t="str">
        <f t="shared" si="4"/>
        <v>otro</v>
      </c>
      <c r="AF33" s="462" t="str">
        <f t="shared" si="5"/>
        <v>PRI-PVEM-NA</v>
      </c>
      <c r="AG33" s="124" t="str">
        <f t="shared" si="6"/>
        <v>PRI-PVEM-NA</v>
      </c>
      <c r="AH33" s="119">
        <f t="shared" si="7"/>
        <v>32655</v>
      </c>
      <c r="AI33" s="463">
        <f t="shared" si="8"/>
        <v>0.34788954467006156</v>
      </c>
      <c r="AJ33" s="464">
        <f>RANK(G33,($G33,$I33,$J33,$L33,$N33,$O33,$P33,$Q33,$W33,$X33,$Y33,$Z33,$AC33))</f>
        <v>6</v>
      </c>
      <c r="AK33" s="465"/>
      <c r="AL33" s="466">
        <f>RANK(I33,($G33,$I33,$J33,$L33,$N33,$O33,$P33,$Q33,$W33,$X33,$Y33,$Z33,$AC33))</f>
        <v>2</v>
      </c>
      <c r="AM33" s="466">
        <f>RANK(J33,($G33,$I33,$J33,$L33,$N33,$O33,$P33,$Q33,$W33,$X33,$Y33,$Z33,$AC33))</f>
        <v>9</v>
      </c>
      <c r="AN33" s="457"/>
      <c r="AO33" s="466">
        <f>RANK(L33,($G33,$I33,$J33,$L33,$N33,$O33,$P33,$Q33,$W33,$X33,$Y33,$Z33,$AC33))</f>
        <v>3</v>
      </c>
      <c r="AP33" s="457"/>
      <c r="AQ33" s="466">
        <f>RANK(N33,($G33,$I33,$J33,$L33,$N33,$O33,$P33,$Q33,$W33,$X33,$Y33,$Z33,$AC33))</f>
        <v>4</v>
      </c>
      <c r="AR33" s="466">
        <f>RANK(O33,($G33,$I33,$J33,$L33,$N33,$O33,$P33,$Q33,$W33,$X33,$Y33,$Z33,$AC33))</f>
        <v>8</v>
      </c>
      <c r="AS33" s="466">
        <f>RANK(P33,($G33,$I33,$J33,$L33,$N33,$O33,$P33,$Q33,$W33,$X33,$Y33,$Z33,$AC33))</f>
        <v>5</v>
      </c>
      <c r="AT33" s="466">
        <f>RANK(Q33,($G33,$I33,$J33,$L33,$N33,$O33,$P33,$Q33,$W33,$X33,$Y33,$Z33,$AC33))</f>
        <v>10</v>
      </c>
      <c r="AU33" s="457"/>
      <c r="AV33" s="457"/>
      <c r="AW33" s="466">
        <f>RANK(Y33,($G33,$I33,$J33,$L33,$N33,$O33,$P33,$Q33,$W33,$X33,$Y33,$Z33,$AC33))</f>
        <v>11</v>
      </c>
      <c r="AX33" s="466">
        <f>RANK(Z33,($G33,$I33,$J33,$L33,$N33,$O33,$P33,$Q33,$W33,$X33,$Y33,$Z33,$AC33))</f>
        <v>7</v>
      </c>
      <c r="AY33" s="466">
        <f>RANK(AC33,($G33,$I33,$J33,$L33,$N33,$O33,$P33,$Q33,$W33,$X33,$Y33,$Z33,$AC33))</f>
        <v>1</v>
      </c>
      <c r="AZ33" s="460"/>
      <c r="BA33" s="461" t="str">
        <f t="shared" si="9"/>
        <v>PRD</v>
      </c>
      <c r="BB33" s="124" t="str">
        <f t="shared" si="10"/>
        <v>ninguno</v>
      </c>
      <c r="BC33" s="124" t="str">
        <f t="shared" si="11"/>
        <v>PRD</v>
      </c>
      <c r="BD33" s="119">
        <f t="shared" si="12"/>
        <v>19783</v>
      </c>
      <c r="BE33" s="119" t="str">
        <f t="shared" si="13"/>
        <v>ninguno</v>
      </c>
      <c r="BF33" s="119">
        <f t="shared" si="14"/>
        <v>19783</v>
      </c>
      <c r="BG33" s="467">
        <f t="shared" si="15"/>
        <v>0.21075788890546099</v>
      </c>
      <c r="BH33" s="468">
        <f t="shared" si="16"/>
        <v>12872</v>
      </c>
      <c r="BI33" s="467">
        <f t="shared" si="16"/>
        <v>0.13713165576460057</v>
      </c>
    </row>
    <row r="34" spans="1:61">
      <c r="A34" s="434">
        <v>27</v>
      </c>
      <c r="B34" s="435" t="s">
        <v>52</v>
      </c>
      <c r="C34" s="436">
        <v>19076</v>
      </c>
      <c r="D34" s="434">
        <v>36</v>
      </c>
      <c r="E34" s="434">
        <v>36</v>
      </c>
      <c r="F34" s="437">
        <f t="shared" si="0"/>
        <v>1</v>
      </c>
      <c r="G34" s="455">
        <v>7638</v>
      </c>
      <c r="H34" s="456">
        <v>5096</v>
      </c>
      <c r="I34" s="456">
        <v>345</v>
      </c>
      <c r="J34" s="456">
        <v>77</v>
      </c>
      <c r="K34" s="456">
        <v>52</v>
      </c>
      <c r="L34" s="457"/>
      <c r="M34" s="456">
        <v>113</v>
      </c>
      <c r="N34" s="456">
        <v>339</v>
      </c>
      <c r="O34" s="465"/>
      <c r="P34" s="465"/>
      <c r="Q34" s="456">
        <v>99</v>
      </c>
      <c r="R34" s="456">
        <v>22</v>
      </c>
      <c r="S34" s="456">
        <v>62</v>
      </c>
      <c r="T34" s="456">
        <v>7</v>
      </c>
      <c r="U34" s="456">
        <v>4</v>
      </c>
      <c r="V34" s="456">
        <v>143</v>
      </c>
      <c r="W34" s="457"/>
      <c r="X34" s="457"/>
      <c r="Y34" s="456">
        <v>2</v>
      </c>
      <c r="Z34" s="456">
        <v>419</v>
      </c>
      <c r="AA34" s="458">
        <f t="shared" si="1"/>
        <v>14418</v>
      </c>
      <c r="AB34" s="459">
        <f t="shared" si="2"/>
        <v>0.75581882994338434</v>
      </c>
      <c r="AC34" s="455">
        <f t="shared" si="3"/>
        <v>5356</v>
      </c>
      <c r="AD34" s="458">
        <f>G34+J34+V34</f>
        <v>7858</v>
      </c>
      <c r="AE34" s="461" t="str">
        <f t="shared" si="4"/>
        <v>otro</v>
      </c>
      <c r="AF34" s="462" t="str">
        <f t="shared" si="5"/>
        <v>PAN-PT</v>
      </c>
      <c r="AG34" s="124" t="str">
        <f t="shared" si="6"/>
        <v>PAN-PT</v>
      </c>
      <c r="AH34" s="119">
        <f t="shared" si="7"/>
        <v>7858</v>
      </c>
      <c r="AI34" s="463">
        <f t="shared" si="8"/>
        <v>0.54501317797197946</v>
      </c>
      <c r="AJ34" s="470"/>
      <c r="AK34" s="465"/>
      <c r="AL34" s="466">
        <f>RANK(I34,($I34,$L34,$N34,$O34,$P34,$Q34,$W34,$X34,$Y34,$Z34,$AC34,$AD34))</f>
        <v>4</v>
      </c>
      <c r="AM34" s="465"/>
      <c r="AN34" s="457"/>
      <c r="AO34" s="457"/>
      <c r="AP34" s="457"/>
      <c r="AQ34" s="466">
        <f>RANK(N34,($G34,$I34,$J34,$L34,$N34,$O34,$P34,$Q34,$W34,$X34,$Y34,$Z34,$AC34))</f>
        <v>5</v>
      </c>
      <c r="AR34" s="457"/>
      <c r="AS34" s="457"/>
      <c r="AT34" s="466">
        <f>RANK(Q34,($I34,$L34,$N34,$O34,$P34,$Q34,$W34,$X34,$Y34,$Z34,$AC34,$AD34))</f>
        <v>6</v>
      </c>
      <c r="AU34" s="457"/>
      <c r="AV34" s="457"/>
      <c r="AW34" s="466">
        <f>RANK(Y34,($I34,$L34,$N34,$O34,$P34,$Q34,$W34,$X34,$Y34,$Z34,$AC34,$AD34))</f>
        <v>7</v>
      </c>
      <c r="AX34" s="466">
        <f>RANK(Z34,($I34,$L34,$N34,$O34,$P34,$Q34,$W34,$X34,$Y34,$Z34,$AC34,$AD34))</f>
        <v>3</v>
      </c>
      <c r="AY34" s="466">
        <f>RANK(AC34,($I34,$L34,$N34,$O34,$P34,$Q34,$W34,$X34,$Y34,$Z34,$AC34,$AD34))</f>
        <v>2</v>
      </c>
      <c r="AZ34" s="471">
        <f>RANK(AD34,($I34,$L34,$N34,$O34,$P34,$Q34,$W34,$X34,$Y34,$Z34,$AC34,$AD34))</f>
        <v>1</v>
      </c>
      <c r="BA34" s="461" t="str">
        <f t="shared" si="9"/>
        <v>otro</v>
      </c>
      <c r="BB34" s="124" t="str">
        <f t="shared" si="10"/>
        <v>PRI-PVEM-NA</v>
      </c>
      <c r="BC34" s="124" t="str">
        <f t="shared" si="11"/>
        <v>PRI-PVEM-NA</v>
      </c>
      <c r="BD34" s="119" t="str">
        <f t="shared" si="12"/>
        <v>otro</v>
      </c>
      <c r="BE34" s="119">
        <f t="shared" si="13"/>
        <v>5356</v>
      </c>
      <c r="BF34" s="119">
        <f t="shared" si="14"/>
        <v>5356</v>
      </c>
      <c r="BG34" s="467">
        <f t="shared" si="15"/>
        <v>0.37148009432653628</v>
      </c>
      <c r="BH34" s="468">
        <f t="shared" si="16"/>
        <v>2502</v>
      </c>
      <c r="BI34" s="467">
        <f t="shared" si="16"/>
        <v>0.17353308364544318</v>
      </c>
    </row>
    <row r="35" spans="1:61">
      <c r="A35" s="434">
        <v>28</v>
      </c>
      <c r="B35" s="435" t="s">
        <v>53</v>
      </c>
      <c r="C35" s="436">
        <v>7160</v>
      </c>
      <c r="D35" s="434">
        <v>10</v>
      </c>
      <c r="E35" s="434">
        <v>10</v>
      </c>
      <c r="F35" s="437">
        <f t="shared" si="0"/>
        <v>1</v>
      </c>
      <c r="G35" s="455">
        <v>389</v>
      </c>
      <c r="H35" s="456">
        <v>1646</v>
      </c>
      <c r="I35" s="456">
        <v>232</v>
      </c>
      <c r="J35" s="456">
        <v>1548</v>
      </c>
      <c r="K35" s="456">
        <v>29</v>
      </c>
      <c r="L35" s="456">
        <v>122</v>
      </c>
      <c r="M35" s="456">
        <v>65</v>
      </c>
      <c r="N35" s="456">
        <v>82</v>
      </c>
      <c r="O35" s="456">
        <v>239</v>
      </c>
      <c r="P35" s="465"/>
      <c r="Q35" s="465"/>
      <c r="R35" s="456">
        <v>9</v>
      </c>
      <c r="S35" s="456">
        <v>12</v>
      </c>
      <c r="T35" s="456">
        <v>2</v>
      </c>
      <c r="U35" s="456">
        <v>0</v>
      </c>
      <c r="V35" s="456">
        <v>129</v>
      </c>
      <c r="W35" s="457"/>
      <c r="X35" s="457"/>
      <c r="Y35" s="456">
        <v>2</v>
      </c>
      <c r="Z35" s="456">
        <v>114</v>
      </c>
      <c r="AA35" s="458">
        <f t="shared" si="1"/>
        <v>4620</v>
      </c>
      <c r="AB35" s="459">
        <f t="shared" si="2"/>
        <v>0.64525139664804465</v>
      </c>
      <c r="AC35" s="455">
        <f t="shared" si="3"/>
        <v>1763</v>
      </c>
      <c r="AD35" s="458">
        <f>G35+J35+V35</f>
        <v>2066</v>
      </c>
      <c r="AE35" s="461" t="str">
        <f t="shared" si="4"/>
        <v>otro</v>
      </c>
      <c r="AF35" s="462" t="str">
        <f t="shared" si="5"/>
        <v>PAN-PT</v>
      </c>
      <c r="AG35" s="124" t="str">
        <f t="shared" si="6"/>
        <v>PAN-PT</v>
      </c>
      <c r="AH35" s="119">
        <f t="shared" si="7"/>
        <v>2066</v>
      </c>
      <c r="AI35" s="463">
        <f t="shared" si="8"/>
        <v>0.44718614718614719</v>
      </c>
      <c r="AJ35" s="470"/>
      <c r="AK35" s="465"/>
      <c r="AL35" s="466">
        <f>RANK(I35,($I35,$L35,$N35,$O35,$P35,$Q35,$W35,$X35,$Y35,$Z35,$AC35,$AD35))</f>
        <v>4</v>
      </c>
      <c r="AM35" s="465"/>
      <c r="AN35" s="457"/>
      <c r="AO35" s="466">
        <f>RANK(L35,($I35,$L35,$N35,$O35,$P35,$Q35,$W35,$X35,$Y35,$Z35,$AC35,$AD35))</f>
        <v>5</v>
      </c>
      <c r="AP35" s="457"/>
      <c r="AQ35" s="466">
        <f>RANK(N35,($G35,$I35,$J35,$L35,$N35,$O35,$P35,$Q35,$W35,$X35,$Y35,$Z35,$AC35))</f>
        <v>8</v>
      </c>
      <c r="AR35" s="466">
        <f>RANK(O35,($I35,$L35,$N35,$O35,$P35,$Q35,$W35,$X35,$Y35,$Z35,$AC35,$AD35))</f>
        <v>3</v>
      </c>
      <c r="AS35" s="457"/>
      <c r="AT35" s="457"/>
      <c r="AU35" s="457"/>
      <c r="AV35" s="457"/>
      <c r="AW35" s="466">
        <f>RANK(Y35,($I35,$L35,$N35,$O35,$P35,$Q35,$W35,$X35,$Y35,$Z35,$AC35,$AD35))</f>
        <v>8</v>
      </c>
      <c r="AX35" s="466">
        <f>RANK(Z35,($I35,$L35,$N35,$O35,$P35,$Q35,$W35,$X35,$Y35,$Z35,$AC35,$AD35))</f>
        <v>6</v>
      </c>
      <c r="AY35" s="466">
        <f>RANK(AC35,($I35,$L35,$N35,$O35,$P35,$Q35,$W35,$X35,$Y35,$Z35,$AC35,$AD35))</f>
        <v>2</v>
      </c>
      <c r="AZ35" s="471">
        <f>RANK(AD35,($I35,$L35,$N35,$O35,$P35,$Q35,$W35,$X35,$Y35,$Z35,$AC35,$AD35))</f>
        <v>1</v>
      </c>
      <c r="BA35" s="461" t="str">
        <f t="shared" si="9"/>
        <v>otro</v>
      </c>
      <c r="BB35" s="124" t="str">
        <f t="shared" si="10"/>
        <v>PRI-PVEM-NA</v>
      </c>
      <c r="BC35" s="124" t="str">
        <f t="shared" si="11"/>
        <v>PRI-PVEM-NA</v>
      </c>
      <c r="BD35" s="119" t="str">
        <f t="shared" si="12"/>
        <v>otro</v>
      </c>
      <c r="BE35" s="119">
        <f t="shared" si="13"/>
        <v>1763</v>
      </c>
      <c r="BF35" s="119">
        <f t="shared" si="14"/>
        <v>1763</v>
      </c>
      <c r="BG35" s="467">
        <f t="shared" si="15"/>
        <v>0.38160173160173161</v>
      </c>
      <c r="BH35" s="468">
        <f t="shared" si="16"/>
        <v>303</v>
      </c>
      <c r="BI35" s="467">
        <f t="shared" si="16"/>
        <v>6.5584415584415579E-2</v>
      </c>
    </row>
    <row r="36" spans="1:61">
      <c r="A36" s="434">
        <v>29</v>
      </c>
      <c r="B36" s="435" t="s">
        <v>54</v>
      </c>
      <c r="C36" s="436">
        <v>19155</v>
      </c>
      <c r="D36" s="434">
        <v>33</v>
      </c>
      <c r="E36" s="434">
        <v>33</v>
      </c>
      <c r="F36" s="437">
        <f t="shared" si="0"/>
        <v>1</v>
      </c>
      <c r="G36" s="455">
        <v>147</v>
      </c>
      <c r="H36" s="456">
        <v>4646</v>
      </c>
      <c r="I36" s="456">
        <v>343</v>
      </c>
      <c r="J36" s="456">
        <v>171</v>
      </c>
      <c r="K36" s="456">
        <v>88</v>
      </c>
      <c r="L36" s="456">
        <v>3889</v>
      </c>
      <c r="M36" s="456">
        <v>101</v>
      </c>
      <c r="N36" s="456">
        <v>2569</v>
      </c>
      <c r="O36" s="465"/>
      <c r="P36" s="456">
        <v>201</v>
      </c>
      <c r="Q36" s="456">
        <v>67</v>
      </c>
      <c r="R36" s="456">
        <v>106</v>
      </c>
      <c r="S36" s="456">
        <v>88</v>
      </c>
      <c r="T36" s="456">
        <v>8</v>
      </c>
      <c r="U36" s="456">
        <v>0</v>
      </c>
      <c r="V36" s="465"/>
      <c r="W36" s="457"/>
      <c r="X36" s="457"/>
      <c r="Y36" s="456">
        <v>4</v>
      </c>
      <c r="Z36" s="456">
        <v>216</v>
      </c>
      <c r="AA36" s="458">
        <f t="shared" si="1"/>
        <v>12644</v>
      </c>
      <c r="AB36" s="459">
        <f t="shared" si="2"/>
        <v>0.66008874967371445</v>
      </c>
      <c r="AC36" s="455">
        <f t="shared" si="3"/>
        <v>5037</v>
      </c>
      <c r="AD36" s="460"/>
      <c r="AE36" s="461" t="str">
        <f t="shared" si="4"/>
        <v>otro</v>
      </c>
      <c r="AF36" s="462" t="str">
        <f t="shared" si="5"/>
        <v>PRI-PVEM-NA</v>
      </c>
      <c r="AG36" s="124" t="str">
        <f t="shared" si="6"/>
        <v>PRI-PVEM-NA</v>
      </c>
      <c r="AH36" s="119">
        <f t="shared" si="7"/>
        <v>5037</v>
      </c>
      <c r="AI36" s="463">
        <f t="shared" si="8"/>
        <v>0.39837076874406835</v>
      </c>
      <c r="AJ36" s="464">
        <f>RANK(G36,($G36,$I36,$J36,$L36,$N36,$O36,$P36,$Q36,$W36,$X36,$Y36,$Z36,$AC36))</f>
        <v>8</v>
      </c>
      <c r="AK36" s="465"/>
      <c r="AL36" s="466">
        <f>RANK(I36,($G36,$I36,$J36,$L36,$N36,$O36,$P36,$Q36,$W36,$X36,$Y36,$Z36,$AC36))</f>
        <v>4</v>
      </c>
      <c r="AM36" s="466">
        <f>RANK(J36,($G36,$I36,$J36,$L36,$N36,$O36,$P36,$Q36,$W36,$X36,$Y36,$Z36,$AC36))</f>
        <v>7</v>
      </c>
      <c r="AN36" s="457"/>
      <c r="AO36" s="466">
        <f>RANK(L36,($G36,$I36,$J36,$L36,$N36,$O36,$P36,$Q36,$W36,$X36,$Y36,$Z36,$AC36))</f>
        <v>2</v>
      </c>
      <c r="AP36" s="457"/>
      <c r="AQ36" s="466">
        <f>RANK(N36,($G36,$I36,$J36,$L36,$N36,$O36,$P36,$Q36,$W36,$X36,$Y36,$Z36,$AC36))</f>
        <v>3</v>
      </c>
      <c r="AR36" s="457"/>
      <c r="AS36" s="466">
        <f>RANK(P36,($G36,$I36,$J36,$L36,$N36,$O36,$P36,$Q36,$W36,$X36,$Y36,$Z36,$AC36))</f>
        <v>6</v>
      </c>
      <c r="AT36" s="466">
        <f>RANK(Q36,($G36,$I36,$J36,$L36,$N36,$O36,$P36,$Q36,$W36,$X36,$Y36,$Z36,$AC36))</f>
        <v>9</v>
      </c>
      <c r="AU36" s="457"/>
      <c r="AV36" s="457"/>
      <c r="AW36" s="466">
        <f>RANK(Y36,($G36,$I36,$J36,$L36,$N36,$O36,$P36,$Q36,$W36,$X36,$Y36,$Z36,$AC36))</f>
        <v>10</v>
      </c>
      <c r="AX36" s="466">
        <f>RANK(Z36,($G36,$I36,$J36,$L36,$N36,$O36,$P36,$Q36,$W36,$X36,$Y36,$Z36,$AC36))</f>
        <v>5</v>
      </c>
      <c r="AY36" s="466">
        <f>RANK(AC36,($G36,$I36,$J36,$L36,$N36,$O36,$P36,$Q36,$W36,$X36,$Y36,$Z36,$AC36))</f>
        <v>1</v>
      </c>
      <c r="AZ36" s="460"/>
      <c r="BA36" s="461" t="str">
        <f t="shared" si="9"/>
        <v>MC</v>
      </c>
      <c r="BB36" s="124" t="str">
        <f t="shared" si="10"/>
        <v>ninguno</v>
      </c>
      <c r="BC36" s="124" t="str">
        <f t="shared" si="11"/>
        <v>MC</v>
      </c>
      <c r="BD36" s="119">
        <f t="shared" si="12"/>
        <v>3889</v>
      </c>
      <c r="BE36" s="119" t="str">
        <f t="shared" si="13"/>
        <v>ninguno</v>
      </c>
      <c r="BF36" s="119">
        <f t="shared" si="14"/>
        <v>3889</v>
      </c>
      <c r="BG36" s="467">
        <f t="shared" si="15"/>
        <v>0.30757671622904142</v>
      </c>
      <c r="BH36" s="468">
        <f t="shared" si="16"/>
        <v>1148</v>
      </c>
      <c r="BI36" s="467">
        <f t="shared" si="16"/>
        <v>9.0794052515026924E-2</v>
      </c>
    </row>
    <row r="37" spans="1:61">
      <c r="A37" s="434">
        <v>30</v>
      </c>
      <c r="B37" s="435" t="s">
        <v>55</v>
      </c>
      <c r="C37" s="436">
        <v>119557</v>
      </c>
      <c r="D37" s="434">
        <v>195</v>
      </c>
      <c r="E37" s="434">
        <v>195</v>
      </c>
      <c r="F37" s="437">
        <f t="shared" si="0"/>
        <v>1</v>
      </c>
      <c r="G37" s="455">
        <v>1176</v>
      </c>
      <c r="H37" s="456">
        <v>16666</v>
      </c>
      <c r="I37" s="456">
        <v>12407</v>
      </c>
      <c r="J37" s="456">
        <v>448</v>
      </c>
      <c r="K37" s="456">
        <v>952</v>
      </c>
      <c r="L37" s="456">
        <v>615</v>
      </c>
      <c r="M37" s="456">
        <v>919</v>
      </c>
      <c r="N37" s="456">
        <v>10140</v>
      </c>
      <c r="O37" s="456">
        <v>2888</v>
      </c>
      <c r="P37" s="456">
        <v>8846</v>
      </c>
      <c r="Q37" s="456">
        <v>236</v>
      </c>
      <c r="R37" s="456">
        <v>128</v>
      </c>
      <c r="S37" s="456">
        <v>112</v>
      </c>
      <c r="T37" s="456">
        <v>15</v>
      </c>
      <c r="U37" s="456">
        <v>3</v>
      </c>
      <c r="V37" s="465"/>
      <c r="W37" s="457"/>
      <c r="X37" s="457"/>
      <c r="Y37" s="456">
        <v>61</v>
      </c>
      <c r="Z37" s="456">
        <v>1920</v>
      </c>
      <c r="AA37" s="458">
        <f t="shared" si="1"/>
        <v>57532</v>
      </c>
      <c r="AB37" s="459">
        <f t="shared" si="2"/>
        <v>0.48120979950985721</v>
      </c>
      <c r="AC37" s="455">
        <f t="shared" si="3"/>
        <v>18795</v>
      </c>
      <c r="AD37" s="460"/>
      <c r="AE37" s="461" t="str">
        <f t="shared" si="4"/>
        <v>otro</v>
      </c>
      <c r="AF37" s="462" t="str">
        <f t="shared" si="5"/>
        <v>PRI-PVEM-NA</v>
      </c>
      <c r="AG37" s="124" t="str">
        <f t="shared" si="6"/>
        <v>PRI-PVEM-NA</v>
      </c>
      <c r="AH37" s="119">
        <f t="shared" si="7"/>
        <v>18795</v>
      </c>
      <c r="AI37" s="463">
        <f t="shared" si="8"/>
        <v>0.32668775637905861</v>
      </c>
      <c r="AJ37" s="464">
        <f>RANK(G37,($G37,$I37,$J37,$L37,$N37,$O37,$P37,$Q37,$W37,$X37,$Y37,$Z37,$AC37))</f>
        <v>7</v>
      </c>
      <c r="AK37" s="465"/>
      <c r="AL37" s="466">
        <f>RANK(I37,($G37,$I37,$J37,$L37,$N37,$O37,$P37,$Q37,$W37,$X37,$Y37,$Z37,$AC37))</f>
        <v>2</v>
      </c>
      <c r="AM37" s="466">
        <f>RANK(J37,($G37,$I37,$J37,$L37,$N37,$O37,$P37,$Q37,$W37,$X37,$Y37,$Z37,$AC37))</f>
        <v>9</v>
      </c>
      <c r="AN37" s="457"/>
      <c r="AO37" s="466">
        <f>RANK(L37,($G37,$I37,$J37,$L37,$N37,$O37,$P37,$Q37,$W37,$X37,$Y37,$Z37,$AC37))</f>
        <v>8</v>
      </c>
      <c r="AP37" s="457"/>
      <c r="AQ37" s="466">
        <f>RANK(N37,($G37,$I37,$J37,$L37,$N37,$O37,$P37,$Q37,$W37,$X37,$Y37,$Z37,$AC37))</f>
        <v>3</v>
      </c>
      <c r="AR37" s="466">
        <f>RANK(O37,($G37,$I37,$J37,$L37,$N37,$O37,$P37,$Q37,$W37,$X37,$Y37,$Z37,$AC37))</f>
        <v>5</v>
      </c>
      <c r="AS37" s="466">
        <f>RANK(P37,($G37,$I37,$J37,$L37,$N37,$O37,$P37,$Q37,$W37,$X37,$Y37,$Z37,$AC37))</f>
        <v>4</v>
      </c>
      <c r="AT37" s="466">
        <f>RANK(Q37,($G37,$I37,$J37,$L37,$N37,$O37,$P37,$Q37,$W37,$X37,$Y37,$Z37,$AC37))</f>
        <v>10</v>
      </c>
      <c r="AU37" s="457"/>
      <c r="AV37" s="457"/>
      <c r="AW37" s="466">
        <f>RANK(Y37,($G37,$I37,$J37,$L37,$N37,$O37,$P37,$Q37,$W37,$X37,$Y37,$Z37,$AC37))</f>
        <v>11</v>
      </c>
      <c r="AX37" s="466">
        <f>RANK(Z37,($G37,$I37,$J37,$L37,$N37,$O37,$P37,$Q37,$W37,$X37,$Y37,$Z37,$AC37))</f>
        <v>6</v>
      </c>
      <c r="AY37" s="466">
        <f>RANK(AC37,($G37,$I37,$J37,$L37,$N37,$O37,$P37,$Q37,$W37,$X37,$Y37,$Z37,$AC37))</f>
        <v>1</v>
      </c>
      <c r="AZ37" s="460"/>
      <c r="BA37" s="461" t="str">
        <f t="shared" si="9"/>
        <v>PRD</v>
      </c>
      <c r="BB37" s="124" t="str">
        <f t="shared" si="10"/>
        <v>ninguno</v>
      </c>
      <c r="BC37" s="124" t="str">
        <f t="shared" si="11"/>
        <v>PRD</v>
      </c>
      <c r="BD37" s="119">
        <f t="shared" si="12"/>
        <v>12407</v>
      </c>
      <c r="BE37" s="119" t="str">
        <f t="shared" si="13"/>
        <v>ninguno</v>
      </c>
      <c r="BF37" s="119">
        <f t="shared" si="14"/>
        <v>12407</v>
      </c>
      <c r="BG37" s="467">
        <f t="shared" si="15"/>
        <v>0.21565389696169088</v>
      </c>
      <c r="BH37" s="468">
        <f t="shared" si="16"/>
        <v>6388</v>
      </c>
      <c r="BI37" s="467">
        <f t="shared" si="16"/>
        <v>0.11103385941736774</v>
      </c>
    </row>
    <row r="38" spans="1:61">
      <c r="A38" s="434">
        <v>31</v>
      </c>
      <c r="B38" s="435" t="s">
        <v>56</v>
      </c>
      <c r="C38" s="436">
        <v>17629</v>
      </c>
      <c r="D38" s="434">
        <v>28</v>
      </c>
      <c r="E38" s="434">
        <v>28</v>
      </c>
      <c r="F38" s="437">
        <f t="shared" si="0"/>
        <v>1</v>
      </c>
      <c r="G38" s="455">
        <v>139</v>
      </c>
      <c r="H38" s="456">
        <v>2757</v>
      </c>
      <c r="I38" s="456">
        <v>616</v>
      </c>
      <c r="J38" s="456">
        <v>1517</v>
      </c>
      <c r="K38" s="456">
        <v>41</v>
      </c>
      <c r="L38" s="456">
        <v>635</v>
      </c>
      <c r="M38" s="456">
        <v>48</v>
      </c>
      <c r="N38" s="456">
        <v>2241</v>
      </c>
      <c r="O38" s="456">
        <v>2285</v>
      </c>
      <c r="P38" s="456">
        <v>731</v>
      </c>
      <c r="Q38" s="465"/>
      <c r="R38" s="456">
        <v>14</v>
      </c>
      <c r="S38" s="456">
        <v>25</v>
      </c>
      <c r="T38" s="456">
        <v>8</v>
      </c>
      <c r="U38" s="456">
        <v>0</v>
      </c>
      <c r="V38" s="465"/>
      <c r="W38" s="457"/>
      <c r="X38" s="457"/>
      <c r="Y38" s="456">
        <v>3</v>
      </c>
      <c r="Z38" s="456">
        <v>212</v>
      </c>
      <c r="AA38" s="458">
        <f t="shared" si="1"/>
        <v>11272</v>
      </c>
      <c r="AB38" s="459">
        <f t="shared" si="2"/>
        <v>0.63940098701004022</v>
      </c>
      <c r="AC38" s="455">
        <f t="shared" si="3"/>
        <v>2893</v>
      </c>
      <c r="AD38" s="460"/>
      <c r="AE38" s="461" t="str">
        <f t="shared" si="4"/>
        <v>otro</v>
      </c>
      <c r="AF38" s="462" t="str">
        <f t="shared" si="5"/>
        <v>PRI-PVEM-NA</v>
      </c>
      <c r="AG38" s="124" t="str">
        <f t="shared" si="6"/>
        <v>PRI-PVEM-NA</v>
      </c>
      <c r="AH38" s="119">
        <f t="shared" si="7"/>
        <v>2893</v>
      </c>
      <c r="AI38" s="463">
        <f t="shared" si="8"/>
        <v>0.25665365507452093</v>
      </c>
      <c r="AJ38" s="464">
        <f>RANK(G38,($G38,$I38,$J38,$L38,$N38,$O38,$P38,$Q38,$W38,$X38,$Y38,$Z38,$AC38))</f>
        <v>9</v>
      </c>
      <c r="AK38" s="465"/>
      <c r="AL38" s="466">
        <f>RANK(I38,($G38,$I38,$J38,$L38,$N38,$O38,$P38,$Q38,$W38,$X38,$Y38,$Z38,$AC38))</f>
        <v>7</v>
      </c>
      <c r="AM38" s="466">
        <f>RANK(J38,($G38,$I38,$J38,$L38,$N38,$O38,$P38,$Q38,$W38,$X38,$Y38,$Z38,$AC38))</f>
        <v>4</v>
      </c>
      <c r="AN38" s="457"/>
      <c r="AO38" s="466">
        <f>RANK(L38,($G38,$I38,$J38,$L38,$N38,$O38,$P38,$Q38,$W38,$X38,$Y38,$Z38,$AC38))</f>
        <v>6</v>
      </c>
      <c r="AP38" s="457"/>
      <c r="AQ38" s="466">
        <f>RANK(N38,($G38,$I38,$J38,$L38,$N38,$O38,$P38,$Q38,$W38,$X38,$Y38,$Z38,$AC38))</f>
        <v>3</v>
      </c>
      <c r="AR38" s="466">
        <f>RANK(O38,($G38,$I38,$J38,$L38,$N38,$O38,$P38,$Q38,$W38,$X38,$Y38,$Z38,$AC38))</f>
        <v>2</v>
      </c>
      <c r="AS38" s="466">
        <f>RANK(P38,($G38,$I38,$J38,$L38,$N38,$O38,$P38,$Q38,$W38,$X38,$Y38,$Z38,$AC38))</f>
        <v>5</v>
      </c>
      <c r="AT38" s="457"/>
      <c r="AU38" s="457"/>
      <c r="AV38" s="457"/>
      <c r="AW38" s="466">
        <f>RANK(Y38,($G38,$I38,$J38,$L38,$N38,$O38,$P38,$Q38,$W38,$X38,$Y38,$Z38,$AC38))</f>
        <v>10</v>
      </c>
      <c r="AX38" s="466">
        <f>RANK(Z38,($G38,$I38,$J38,$L38,$N38,$O38,$P38,$Q38,$W38,$X38,$Y38,$Z38,$AC38))</f>
        <v>8</v>
      </c>
      <c r="AY38" s="466">
        <f>RANK(AC38,($G38,$I38,$J38,$L38,$N38,$O38,$P38,$Q38,$W38,$X38,$Y38,$Z38,$AC38))</f>
        <v>1</v>
      </c>
      <c r="AZ38" s="460"/>
      <c r="BA38" s="461" t="str">
        <f t="shared" si="9"/>
        <v>otro</v>
      </c>
      <c r="BB38" s="124" t="str">
        <f t="shared" si="10"/>
        <v>PH</v>
      </c>
      <c r="BC38" s="124" t="str">
        <f t="shared" si="11"/>
        <v>PH</v>
      </c>
      <c r="BD38" s="119" t="str">
        <f t="shared" si="12"/>
        <v>otro</v>
      </c>
      <c r="BE38" s="119">
        <f t="shared" si="13"/>
        <v>2285</v>
      </c>
      <c r="BF38" s="119">
        <f t="shared" si="14"/>
        <v>2285</v>
      </c>
      <c r="BG38" s="467">
        <f t="shared" si="15"/>
        <v>0.20271469127040453</v>
      </c>
      <c r="BH38" s="468">
        <f t="shared" si="16"/>
        <v>608</v>
      </c>
      <c r="BI38" s="467">
        <f t="shared" si="16"/>
        <v>5.3938963804116391E-2</v>
      </c>
    </row>
    <row r="39" spans="1:61">
      <c r="A39" s="434">
        <v>32</v>
      </c>
      <c r="B39" s="435" t="s">
        <v>659</v>
      </c>
      <c r="C39" s="436">
        <v>410239</v>
      </c>
      <c r="D39" s="434">
        <v>628</v>
      </c>
      <c r="E39" s="434">
        <v>628</v>
      </c>
      <c r="F39" s="437">
        <f t="shared" si="0"/>
        <v>1</v>
      </c>
      <c r="G39" s="455">
        <v>6220</v>
      </c>
      <c r="H39" s="456">
        <v>54776</v>
      </c>
      <c r="I39" s="456">
        <v>20605</v>
      </c>
      <c r="J39" s="456">
        <v>2908</v>
      </c>
      <c r="K39" s="456">
        <v>5012</v>
      </c>
      <c r="L39" s="456">
        <v>2024</v>
      </c>
      <c r="M39" s="456">
        <v>4022</v>
      </c>
      <c r="N39" s="456">
        <v>22578</v>
      </c>
      <c r="O39" s="456">
        <v>3229</v>
      </c>
      <c r="P39" s="456">
        <v>5854</v>
      </c>
      <c r="Q39" s="456">
        <v>811</v>
      </c>
      <c r="R39" s="456">
        <v>172</v>
      </c>
      <c r="S39" s="456">
        <v>626</v>
      </c>
      <c r="T39" s="456">
        <v>35</v>
      </c>
      <c r="U39" s="456">
        <v>32</v>
      </c>
      <c r="V39" s="465"/>
      <c r="W39" s="457"/>
      <c r="X39" s="457"/>
      <c r="Y39" s="456">
        <v>101</v>
      </c>
      <c r="Z39" s="456">
        <v>5587</v>
      </c>
      <c r="AA39" s="458">
        <f t="shared" si="1"/>
        <v>134592</v>
      </c>
      <c r="AB39" s="459">
        <f t="shared" si="2"/>
        <v>0.32808192297660632</v>
      </c>
      <c r="AC39" s="455">
        <f t="shared" si="3"/>
        <v>64675</v>
      </c>
      <c r="AD39" s="460"/>
      <c r="AE39" s="461" t="str">
        <f t="shared" si="4"/>
        <v>otro</v>
      </c>
      <c r="AF39" s="462" t="str">
        <f t="shared" si="5"/>
        <v>PRI-PVEM-NA</v>
      </c>
      <c r="AG39" s="124" t="str">
        <f t="shared" si="6"/>
        <v>PRI-PVEM-NA</v>
      </c>
      <c r="AH39" s="119">
        <f t="shared" si="7"/>
        <v>64675</v>
      </c>
      <c r="AI39" s="463">
        <f t="shared" si="8"/>
        <v>0.48052633143128864</v>
      </c>
      <c r="AJ39" s="464">
        <f>RANK(G39,($G39,$I39,$J39,$L39,$N39,$O39,$P39,$Q39,$W39,$X39,$Y39,$Z39,$AC39))</f>
        <v>4</v>
      </c>
      <c r="AK39" s="465"/>
      <c r="AL39" s="466">
        <f>RANK(I39,($G39,$I39,$J39,$L39,$N39,$O39,$P39,$Q39,$W39,$X39,$Y39,$Z39,$AC39))</f>
        <v>3</v>
      </c>
      <c r="AM39" s="466">
        <f>RANK(J39,($G39,$I39,$J39,$L39,$N39,$O39,$P39,$Q39,$W39,$X39,$Y39,$Z39,$AC39))</f>
        <v>8</v>
      </c>
      <c r="AN39" s="457"/>
      <c r="AO39" s="466">
        <f>RANK(L39,($G39,$I39,$J39,$L39,$N39,$O39,$P39,$Q39,$W39,$X39,$Y39,$Z39,$AC39))</f>
        <v>9</v>
      </c>
      <c r="AP39" s="457"/>
      <c r="AQ39" s="466">
        <f>RANK(N39,($G39,$I39,$J39,$L39,$N39,$O39,$P39,$Q39,$W39,$X39,$Y39,$Z39,$AC39))</f>
        <v>2</v>
      </c>
      <c r="AR39" s="466">
        <f>RANK(O39,($G39,$I39,$J39,$L39,$N39,$O39,$P39,$Q39,$W39,$X39,$Y39,$Z39,$AC39))</f>
        <v>7</v>
      </c>
      <c r="AS39" s="466">
        <f>RANK(P39,($G39,$I39,$J39,$L39,$N39,$O39,$P39,$Q39,$W39,$X39,$Y39,$Z39,$AC39))</f>
        <v>5</v>
      </c>
      <c r="AT39" s="466">
        <f>RANK(Q39,($G39,$I39,$J39,$L39,$N39,$O39,$P39,$Q39,$W39,$X39,$Y39,$Z39,$AC39))</f>
        <v>10</v>
      </c>
      <c r="AU39" s="457"/>
      <c r="AV39" s="457"/>
      <c r="AW39" s="466">
        <f>RANK(Y39,($G39,$I39,$J39,$L39,$N39,$O39,$P39,$Q39,$W39,$X39,$Y39,$Z39,$AC39))</f>
        <v>11</v>
      </c>
      <c r="AX39" s="466">
        <f>RANK(Z39,($G39,$I39,$J39,$L39,$N39,$O39,$P39,$Q39,$W39,$X39,$Y39,$Z39,$AC39))</f>
        <v>6</v>
      </c>
      <c r="AY39" s="466">
        <f>RANK(AC39,($G39,$I39,$J39,$L39,$N39,$O39,$P39,$Q39,$W39,$X39,$Y39,$Z39,$AC39))</f>
        <v>1</v>
      </c>
      <c r="AZ39" s="460"/>
      <c r="BA39" s="461" t="str">
        <f t="shared" si="9"/>
        <v>MORENA</v>
      </c>
      <c r="BB39" s="124" t="str">
        <f t="shared" si="10"/>
        <v>ninguno</v>
      </c>
      <c r="BC39" s="124" t="str">
        <f t="shared" si="11"/>
        <v>MORENA</v>
      </c>
      <c r="BD39" s="119">
        <f t="shared" si="12"/>
        <v>22578</v>
      </c>
      <c r="BE39" s="119" t="str">
        <f t="shared" si="13"/>
        <v>ninguno</v>
      </c>
      <c r="BF39" s="119">
        <f t="shared" si="14"/>
        <v>22578</v>
      </c>
      <c r="BG39" s="467">
        <f t="shared" si="15"/>
        <v>0.16775142653352354</v>
      </c>
      <c r="BH39" s="468">
        <f t="shared" si="16"/>
        <v>42097</v>
      </c>
      <c r="BI39" s="467">
        <f t="shared" si="16"/>
        <v>0.3127749048977651</v>
      </c>
    </row>
    <row r="40" spans="1:61">
      <c r="A40" s="434">
        <v>33</v>
      </c>
      <c r="B40" s="435" t="s">
        <v>57</v>
      </c>
      <c r="C40" s="436">
        <v>21549</v>
      </c>
      <c r="D40" s="434">
        <v>37</v>
      </c>
      <c r="E40" s="434">
        <v>37</v>
      </c>
      <c r="F40" s="437">
        <f t="shared" si="0"/>
        <v>1</v>
      </c>
      <c r="G40" s="455">
        <v>1894</v>
      </c>
      <c r="H40" s="456">
        <v>6631</v>
      </c>
      <c r="I40" s="456">
        <v>7265</v>
      </c>
      <c r="J40" s="456">
        <v>51</v>
      </c>
      <c r="K40" s="456">
        <v>39</v>
      </c>
      <c r="L40" s="457"/>
      <c r="M40" s="456">
        <v>447</v>
      </c>
      <c r="N40" s="456">
        <v>124</v>
      </c>
      <c r="O40" s="456">
        <v>107</v>
      </c>
      <c r="P40" s="465"/>
      <c r="Q40" s="465"/>
      <c r="R40" s="465"/>
      <c r="S40" s="465"/>
      <c r="T40" s="465"/>
      <c r="U40" s="465"/>
      <c r="V40" s="465"/>
      <c r="W40" s="457"/>
      <c r="X40" s="457"/>
      <c r="Y40" s="456">
        <v>0</v>
      </c>
      <c r="Z40" s="456">
        <v>485</v>
      </c>
      <c r="AA40" s="458">
        <f t="shared" si="1"/>
        <v>17043</v>
      </c>
      <c r="AB40" s="459">
        <f t="shared" si="2"/>
        <v>0.79089516914938052</v>
      </c>
      <c r="AC40" s="470"/>
      <c r="AD40" s="460"/>
      <c r="AE40" s="461" t="str">
        <f t="shared" si="4"/>
        <v>PRD</v>
      </c>
      <c r="AF40" s="462" t="str">
        <f t="shared" si="5"/>
        <v>ninguno</v>
      </c>
      <c r="AG40" s="124" t="str">
        <f t="shared" si="6"/>
        <v>PRD</v>
      </c>
      <c r="AH40" s="119">
        <f t="shared" si="7"/>
        <v>7265</v>
      </c>
      <c r="AI40" s="463">
        <f t="shared" si="8"/>
        <v>0.42627471689256585</v>
      </c>
      <c r="AJ40" s="464">
        <f>RANK(G40,($G40,$H40,$I40,$J40,$K40,$L40,$M40,$N40,$O40,$P40,$Q40,$W40,$X40,$Y40,$Z40))</f>
        <v>3</v>
      </c>
      <c r="AK40" s="466">
        <f>RANK(H40,($G40,$H40,$I40,$J40,$K40,$L40,$M40,$N40,$O40,$P40,$Q40,$W40,$X40,$Y40,$Z40))</f>
        <v>2</v>
      </c>
      <c r="AL40" s="466">
        <f>RANK(I40,($G40,$H40,$I40,$J40,$K40,$L40,$M40,$N40,$O40,$P40,$Q40,$W40,$X40,$Y40,$Z40))</f>
        <v>1</v>
      </c>
      <c r="AM40" s="466">
        <f>RANK(J40,($G40,$H40,$I40,$J40,$K40,$L40,$M40,$N40,$O40,$P40,$Q40,$W40,$X40,$Y40,$Z40))</f>
        <v>8</v>
      </c>
      <c r="AN40" s="466">
        <f>RANK(K40,($G40,$H40,$I40,$J40,$K40,$L40,$M40,$N40,$O40,$P40,$Q40,$W40,$X40,$Y40,$Z40))</f>
        <v>9</v>
      </c>
      <c r="AO40" s="457"/>
      <c r="AP40" s="466">
        <f>RANK(M40,($G40,$H40,$I40,$J40,$K40,$L40,$M40,$N40,$O40,$P40,$Q40,$W40,$X40,$Y40,$Z40))</f>
        <v>5</v>
      </c>
      <c r="AQ40" s="466">
        <f>RANK(N40,($G40,$H40,$I40,$J40,$K40,$L40,$M40,$N40,$O40,$P40,$Q40,$W40,$X40,$Y40,$Z40))</f>
        <v>6</v>
      </c>
      <c r="AR40" s="466">
        <f>RANK(O40,($G40,$H40,$I40,$J40,$K40,$L40,$M40,$N40,$O40,$P40,$Q40,$W40,$X40,$Y40,$Z40))</f>
        <v>7</v>
      </c>
      <c r="AS40" s="457"/>
      <c r="AT40" s="457"/>
      <c r="AU40" s="457"/>
      <c r="AV40" s="457"/>
      <c r="AW40" s="466">
        <f>RANK(Y40,($G40,$H40,$I40,$J40,$K40,$L40,$M40,$N40,$O40,$P40,$Q40,$W40,$X40,$Y40,$Z40))</f>
        <v>10</v>
      </c>
      <c r="AX40" s="466">
        <f>RANK(Z40,($G40,$H40,$I40,$J40,$K40,$L40,$M40,$N40,$O40,$P40,$Q40,$W40,$X40,$Y40,$Z40))</f>
        <v>4</v>
      </c>
      <c r="AY40" s="465"/>
      <c r="AZ40" s="460"/>
      <c r="BA40" s="461" t="str">
        <f t="shared" si="9"/>
        <v>PRI</v>
      </c>
      <c r="BB40" s="124" t="str">
        <f t="shared" si="10"/>
        <v>ninguno</v>
      </c>
      <c r="BC40" s="124" t="str">
        <f t="shared" si="11"/>
        <v>PRI</v>
      </c>
      <c r="BD40" s="119">
        <f t="shared" si="12"/>
        <v>6631</v>
      </c>
      <c r="BE40" s="119" t="str">
        <f t="shared" si="13"/>
        <v>ninguno</v>
      </c>
      <c r="BF40" s="119">
        <f t="shared" si="14"/>
        <v>6631</v>
      </c>
      <c r="BG40" s="467">
        <f t="shared" si="15"/>
        <v>0.38907469342251949</v>
      </c>
      <c r="BH40" s="468">
        <f t="shared" si="16"/>
        <v>634</v>
      </c>
      <c r="BI40" s="467">
        <f t="shared" si="16"/>
        <v>3.7200023470046362E-2</v>
      </c>
    </row>
    <row r="41" spans="1:61">
      <c r="A41" s="434">
        <v>34</v>
      </c>
      <c r="B41" s="435" t="s">
        <v>695</v>
      </c>
      <c r="C41" s="436">
        <v>1205403</v>
      </c>
      <c r="D41" s="434">
        <v>1993</v>
      </c>
      <c r="E41" s="434">
        <v>1993</v>
      </c>
      <c r="F41" s="437">
        <f t="shared" si="0"/>
        <v>1</v>
      </c>
      <c r="G41" s="455">
        <v>39301</v>
      </c>
      <c r="H41" s="456">
        <v>167194</v>
      </c>
      <c r="I41" s="456">
        <v>91908</v>
      </c>
      <c r="J41" s="456">
        <v>14139</v>
      </c>
      <c r="K41" s="456">
        <v>18669</v>
      </c>
      <c r="L41" s="456">
        <v>12828</v>
      </c>
      <c r="M41" s="456">
        <v>17812</v>
      </c>
      <c r="N41" s="456">
        <v>63913</v>
      </c>
      <c r="O41" s="456">
        <v>14431</v>
      </c>
      <c r="P41" s="456">
        <v>27567</v>
      </c>
      <c r="Q41" s="456">
        <v>2899</v>
      </c>
      <c r="R41" s="456">
        <v>1459</v>
      </c>
      <c r="S41" s="456">
        <v>2522</v>
      </c>
      <c r="T41" s="456">
        <v>191</v>
      </c>
      <c r="U41" s="456">
        <v>59</v>
      </c>
      <c r="V41" s="465"/>
      <c r="W41" s="457"/>
      <c r="X41" s="457"/>
      <c r="Y41" s="456">
        <v>783</v>
      </c>
      <c r="Z41" s="456">
        <v>25734</v>
      </c>
      <c r="AA41" s="458">
        <f t="shared" si="1"/>
        <v>501409</v>
      </c>
      <c r="AB41" s="459">
        <f t="shared" si="2"/>
        <v>0.4159679376938667</v>
      </c>
      <c r="AC41" s="455">
        <f t="shared" si="3"/>
        <v>207906</v>
      </c>
      <c r="AD41" s="460"/>
      <c r="AE41" s="461" t="str">
        <f t="shared" si="4"/>
        <v>otro</v>
      </c>
      <c r="AF41" s="462" t="str">
        <f t="shared" si="5"/>
        <v>PRI-PVEM-NA</v>
      </c>
      <c r="AG41" s="124" t="str">
        <f t="shared" si="6"/>
        <v>PRI-PVEM-NA</v>
      </c>
      <c r="AH41" s="119">
        <f t="shared" si="7"/>
        <v>207906</v>
      </c>
      <c r="AI41" s="463">
        <f t="shared" si="8"/>
        <v>0.41464353451972341</v>
      </c>
      <c r="AJ41" s="464">
        <f>RANK(G41,($G41,$I41,$J41,$L41,$N41,$O41,$P41,$Q41,$W41,$X41,$Y41,$Z41,$AC41))</f>
        <v>4</v>
      </c>
      <c r="AK41" s="465"/>
      <c r="AL41" s="466">
        <f>RANK(I41,($G41,$I41,$J41,$L41,$N41,$O41,$P41,$Q41,$W41,$X41,$Y41,$Z41,$AC41))</f>
        <v>2</v>
      </c>
      <c r="AM41" s="466">
        <f>RANK(J41,($G41,$I41,$J41,$L41,$N41,$O41,$P41,$Q41,$W41,$X41,$Y41,$Z41,$AC41))</f>
        <v>8</v>
      </c>
      <c r="AN41" s="457"/>
      <c r="AO41" s="466">
        <f>RANK(L41,($G41,$I41,$J41,$L41,$N41,$O41,$P41,$Q41,$W41,$X41,$Y41,$Z41,$AC41))</f>
        <v>9</v>
      </c>
      <c r="AP41" s="457"/>
      <c r="AQ41" s="466">
        <f>RANK(N41,($G41,$I41,$J41,$L41,$N41,$O41,$P41,$Q41,$W41,$X41,$Y41,$Z41,$AC41))</f>
        <v>3</v>
      </c>
      <c r="AR41" s="466">
        <f>RANK(O41,($G41,$I41,$J41,$L41,$N41,$O41,$P41,$Q41,$W41,$X41,$Y41,$Z41,$AC41))</f>
        <v>7</v>
      </c>
      <c r="AS41" s="466">
        <f>RANK(P41,($G41,$I41,$J41,$L41,$N41,$O41,$P41,$Q41,$W41,$X41,$Y41,$Z41,$AC41))</f>
        <v>5</v>
      </c>
      <c r="AT41" s="466">
        <f>RANK(Q41,($G41,$I41,$J41,$L41,$N41,$O41,$P41,$Q41,$W41,$X41,$Y41,$Z41,$AC41))</f>
        <v>10</v>
      </c>
      <c r="AU41" s="457"/>
      <c r="AV41" s="457"/>
      <c r="AW41" s="466">
        <f>RANK(Y41,($G41,$I41,$J41,$L41,$N41,$O41,$P41,$Q41,$W41,$X41,$Y41,$Z41,$AC41))</f>
        <v>11</v>
      </c>
      <c r="AX41" s="466">
        <f>RANK(Z41,($G41,$I41,$J41,$L41,$N41,$O41,$P41,$Q41,$W41,$X41,$Y41,$Z41,$AC41))</f>
        <v>6</v>
      </c>
      <c r="AY41" s="466">
        <f>RANK(AC41,($G41,$I41,$J41,$L41,$N41,$O41,$P41,$Q41,$W41,$X41,$Y41,$Z41,$AC41))</f>
        <v>1</v>
      </c>
      <c r="AZ41" s="460"/>
      <c r="BA41" s="461" t="str">
        <f t="shared" si="9"/>
        <v>PRD</v>
      </c>
      <c r="BB41" s="124" t="str">
        <f t="shared" si="10"/>
        <v>ninguno</v>
      </c>
      <c r="BC41" s="124" t="str">
        <f t="shared" si="11"/>
        <v>PRD</v>
      </c>
      <c r="BD41" s="119">
        <f t="shared" si="12"/>
        <v>91908</v>
      </c>
      <c r="BE41" s="119" t="str">
        <f t="shared" si="13"/>
        <v>ninguno</v>
      </c>
      <c r="BF41" s="119">
        <f t="shared" si="14"/>
        <v>91908</v>
      </c>
      <c r="BG41" s="467">
        <f t="shared" si="15"/>
        <v>0.18329946211575779</v>
      </c>
      <c r="BH41" s="468">
        <f t="shared" si="16"/>
        <v>115998</v>
      </c>
      <c r="BI41" s="467">
        <f t="shared" si="16"/>
        <v>0.23134407240396562</v>
      </c>
    </row>
    <row r="42" spans="1:61">
      <c r="A42" s="434">
        <v>35</v>
      </c>
      <c r="B42" s="435" t="s">
        <v>58</v>
      </c>
      <c r="C42" s="436">
        <v>6216</v>
      </c>
      <c r="D42" s="434">
        <v>10</v>
      </c>
      <c r="E42" s="434">
        <v>10</v>
      </c>
      <c r="F42" s="437">
        <f t="shared" si="0"/>
        <v>1</v>
      </c>
      <c r="G42" s="455">
        <v>1437</v>
      </c>
      <c r="H42" s="456">
        <v>1690</v>
      </c>
      <c r="I42" s="456">
        <v>31</v>
      </c>
      <c r="J42" s="456">
        <v>257</v>
      </c>
      <c r="K42" s="456">
        <v>172</v>
      </c>
      <c r="L42" s="456">
        <v>505</v>
      </c>
      <c r="M42" s="456">
        <v>192</v>
      </c>
      <c r="N42" s="456">
        <v>55</v>
      </c>
      <c r="O42" s="465"/>
      <c r="P42" s="465"/>
      <c r="Q42" s="465"/>
      <c r="R42" s="465"/>
      <c r="S42" s="465"/>
      <c r="T42" s="465"/>
      <c r="U42" s="465"/>
      <c r="V42" s="465"/>
      <c r="W42" s="457"/>
      <c r="X42" s="457"/>
      <c r="Y42" s="456">
        <v>1</v>
      </c>
      <c r="Z42" s="456">
        <v>133</v>
      </c>
      <c r="AA42" s="458">
        <f t="shared" si="1"/>
        <v>4473</v>
      </c>
      <c r="AB42" s="459">
        <f t="shared" si="2"/>
        <v>0.71959459459459463</v>
      </c>
      <c r="AC42" s="470"/>
      <c r="AD42" s="460"/>
      <c r="AE42" s="461" t="str">
        <f t="shared" si="4"/>
        <v>PRI</v>
      </c>
      <c r="AF42" s="462" t="str">
        <f t="shared" si="5"/>
        <v>ninguno</v>
      </c>
      <c r="AG42" s="124" t="str">
        <f t="shared" si="6"/>
        <v>PRI</v>
      </c>
      <c r="AH42" s="119">
        <f t="shared" si="7"/>
        <v>1690</v>
      </c>
      <c r="AI42" s="463">
        <f t="shared" si="8"/>
        <v>0.37782249049854683</v>
      </c>
      <c r="AJ42" s="464">
        <f>RANK(G42,($G42,$H42,$I42,$J42,$K42,$L42,$M42,$N42,$O42,$P42,$Q42,$W42,$X42,$Y42,$Z42))</f>
        <v>2</v>
      </c>
      <c r="AK42" s="466">
        <f>RANK(H42,($G42,$H42,$I42,$J42,$K42,$L42,$M42,$N42,$O42,$P42,$Q42,$W42,$X42,$Y42,$Z42))</f>
        <v>1</v>
      </c>
      <c r="AL42" s="466">
        <f>RANK(I42,($G42,$H42,$I42,$J42,$K42,$L42,$M42,$N42,$O42,$P42,$Q42,$W42,$X42,$Y42,$Z42))</f>
        <v>9</v>
      </c>
      <c r="AM42" s="466">
        <f>RANK(J42,($G42,$H42,$I42,$J42,$K42,$L42,$M42,$N42,$O42,$P42,$Q42,$W42,$X42,$Y42,$Z42))</f>
        <v>4</v>
      </c>
      <c r="AN42" s="466">
        <f>RANK(K42,($G42,$H42,$I42,$J42,$K42,$L42,$M42,$N42,$O42,$P42,$Q42,$W42,$X42,$Y42,$Z42))</f>
        <v>6</v>
      </c>
      <c r="AO42" s="466">
        <f>RANK(L42,($G42,$H42,$I42,$J42,$K42,$L42,$M42,$N42,$O42,$P42,$Q42,$W42,$X42,$Y42,$Z42))</f>
        <v>3</v>
      </c>
      <c r="AP42" s="466">
        <f>RANK(M42,($G42,$H42,$I42,$J42,$K42,$L42,$M42,$N42,$O42,$P42,$Q42,$W42,$X42,$Y42,$Z42))</f>
        <v>5</v>
      </c>
      <c r="AQ42" s="466">
        <f>RANK(N42,($G42,$H42,$I42,$J42,$K42,$L42,$M42,$N42,$O42,$P42,$Q42,$W42,$X42,$Y42,$Z42))</f>
        <v>8</v>
      </c>
      <c r="AR42" s="457"/>
      <c r="AS42" s="457"/>
      <c r="AT42" s="457"/>
      <c r="AU42" s="457"/>
      <c r="AV42" s="457"/>
      <c r="AW42" s="466">
        <f>RANK(Y42,($G42,$H42,$I42,$J42,$K42,$L42,$M42,$N42,$O42,$P42,$Q42,$W42,$X42,$Y42,$Z42))</f>
        <v>10</v>
      </c>
      <c r="AX42" s="466">
        <f>RANK(Z42,($G42,$H42,$I42,$J42,$K42,$L42,$M42,$N42,$O42,$P42,$Q42,$W42,$X42,$Y42,$Z42))</f>
        <v>7</v>
      </c>
      <c r="AY42" s="465"/>
      <c r="AZ42" s="460"/>
      <c r="BA42" s="461" t="str">
        <f t="shared" si="9"/>
        <v>PAN</v>
      </c>
      <c r="BB42" s="124" t="str">
        <f t="shared" si="10"/>
        <v>ninguno</v>
      </c>
      <c r="BC42" s="124" t="str">
        <f t="shared" si="11"/>
        <v>PAN</v>
      </c>
      <c r="BD42" s="119">
        <f t="shared" si="12"/>
        <v>1437</v>
      </c>
      <c r="BE42" s="119" t="str">
        <f t="shared" si="13"/>
        <v>ninguno</v>
      </c>
      <c r="BF42" s="119">
        <f t="shared" si="14"/>
        <v>1437</v>
      </c>
      <c r="BG42" s="467">
        <f t="shared" si="15"/>
        <v>0.32126089872568747</v>
      </c>
      <c r="BH42" s="468">
        <f t="shared" si="16"/>
        <v>253</v>
      </c>
      <c r="BI42" s="467">
        <f t="shared" si="16"/>
        <v>5.6561591772859354E-2</v>
      </c>
    </row>
    <row r="43" spans="1:61">
      <c r="A43" s="434">
        <v>36</v>
      </c>
      <c r="B43" s="435" t="s">
        <v>59</v>
      </c>
      <c r="C43" s="436">
        <v>80654</v>
      </c>
      <c r="D43" s="434">
        <v>125</v>
      </c>
      <c r="E43" s="434">
        <v>125</v>
      </c>
      <c r="F43" s="437">
        <f t="shared" si="0"/>
        <v>1</v>
      </c>
      <c r="G43" s="455">
        <v>11485</v>
      </c>
      <c r="H43" s="456">
        <v>9211</v>
      </c>
      <c r="I43" s="456">
        <v>9068</v>
      </c>
      <c r="J43" s="456">
        <v>263</v>
      </c>
      <c r="K43" s="456">
        <v>465</v>
      </c>
      <c r="L43" s="456">
        <v>2447</v>
      </c>
      <c r="M43" s="456">
        <v>405</v>
      </c>
      <c r="N43" s="456">
        <v>768</v>
      </c>
      <c r="O43" s="456">
        <v>687</v>
      </c>
      <c r="P43" s="456">
        <v>866</v>
      </c>
      <c r="Q43" s="465"/>
      <c r="R43" s="456">
        <v>74</v>
      </c>
      <c r="S43" s="456">
        <v>445</v>
      </c>
      <c r="T43" s="456">
        <v>6</v>
      </c>
      <c r="U43" s="456">
        <v>1</v>
      </c>
      <c r="V43" s="465"/>
      <c r="W43" s="457"/>
      <c r="X43" s="457"/>
      <c r="Y43" s="456">
        <v>38</v>
      </c>
      <c r="Z43" s="456">
        <v>763</v>
      </c>
      <c r="AA43" s="458">
        <f t="shared" si="1"/>
        <v>36992</v>
      </c>
      <c r="AB43" s="459">
        <f t="shared" si="2"/>
        <v>0.45865053190170357</v>
      </c>
      <c r="AC43" s="455">
        <f t="shared" si="3"/>
        <v>10607</v>
      </c>
      <c r="AD43" s="460"/>
      <c r="AE43" s="461" t="str">
        <f t="shared" si="4"/>
        <v>PAN</v>
      </c>
      <c r="AF43" s="462" t="str">
        <f t="shared" si="5"/>
        <v>ninguno</v>
      </c>
      <c r="AG43" s="124" t="str">
        <f t="shared" si="6"/>
        <v>PAN</v>
      </c>
      <c r="AH43" s="119">
        <f t="shared" si="7"/>
        <v>11485</v>
      </c>
      <c r="AI43" s="463">
        <f t="shared" si="8"/>
        <v>0.31047253460207613</v>
      </c>
      <c r="AJ43" s="464">
        <f>RANK(G43,($G43,$I43,$J43,$L43,$N43,$O43,$P43,$Q43,$W43,$X43,$Y43,$Z43,$AC43))</f>
        <v>1</v>
      </c>
      <c r="AK43" s="465"/>
      <c r="AL43" s="466">
        <f>RANK(I43,($G43,$I43,$J43,$L43,$N43,$O43,$P43,$Q43,$W43,$X43,$Y43,$Z43,$AC43))</f>
        <v>3</v>
      </c>
      <c r="AM43" s="466">
        <f>RANK(J43,($G43,$I43,$J43,$L43,$N43,$O43,$P43,$Q43,$W43,$X43,$Y43,$Z43,$AC43))</f>
        <v>9</v>
      </c>
      <c r="AN43" s="457"/>
      <c r="AO43" s="466">
        <f>RANK(L43,($G43,$I43,$J43,$L43,$N43,$O43,$P43,$Q43,$W43,$X43,$Y43,$Z43,$AC43))</f>
        <v>4</v>
      </c>
      <c r="AP43" s="457"/>
      <c r="AQ43" s="466">
        <f>RANK(N43,($G43,$I43,$J43,$L43,$N43,$O43,$P43,$Q43,$W43,$X43,$Y43,$Z43,$AC43))</f>
        <v>6</v>
      </c>
      <c r="AR43" s="466">
        <f>RANK(O43,($G43,$I43,$J43,$L43,$N43,$O43,$P43,$Q43,$W43,$X43,$Y43,$Z43,$AC43))</f>
        <v>8</v>
      </c>
      <c r="AS43" s="466">
        <f>RANK(P43,($G43,$I43,$J43,$L43,$N43,$O43,$P43,$Q43,$W43,$X43,$Y43,$Z43,$AC43))</f>
        <v>5</v>
      </c>
      <c r="AT43" s="457"/>
      <c r="AU43" s="457"/>
      <c r="AV43" s="457"/>
      <c r="AW43" s="466">
        <f>RANK(Y43,($G43,$I43,$J43,$L43,$N43,$O43,$P43,$Q43,$W43,$X43,$Y43,$Z43,$AC43))</f>
        <v>10</v>
      </c>
      <c r="AX43" s="466">
        <f>RANK(Z43,($G43,$I43,$J43,$L43,$N43,$O43,$P43,$Q43,$W43,$X43,$Y43,$Z43,$AC43))</f>
        <v>7</v>
      </c>
      <c r="AY43" s="466">
        <f>RANK(AC43,($G43,$I43,$J43,$L43,$N43,$O43,$P43,$Q43,$W43,$X43,$Y43,$Z43,$AC43))</f>
        <v>2</v>
      </c>
      <c r="AZ43" s="460"/>
      <c r="BA43" s="461" t="str">
        <f t="shared" si="9"/>
        <v>otro</v>
      </c>
      <c r="BB43" s="124" t="str">
        <f t="shared" si="10"/>
        <v>PRI-PVEM-NA</v>
      </c>
      <c r="BC43" s="124" t="str">
        <f t="shared" si="11"/>
        <v>PRI-PVEM-NA</v>
      </c>
      <c r="BD43" s="119" t="str">
        <f t="shared" si="12"/>
        <v>otro</v>
      </c>
      <c r="BE43" s="119">
        <f t="shared" si="13"/>
        <v>10607</v>
      </c>
      <c r="BF43" s="119">
        <f t="shared" si="14"/>
        <v>10607</v>
      </c>
      <c r="BG43" s="467">
        <f t="shared" si="15"/>
        <v>0.28673767301038061</v>
      </c>
      <c r="BH43" s="468">
        <f t="shared" si="16"/>
        <v>878</v>
      </c>
      <c r="BI43" s="467">
        <f t="shared" si="16"/>
        <v>2.3734861591695522E-2</v>
      </c>
    </row>
    <row r="44" spans="1:61">
      <c r="A44" s="434">
        <v>37</v>
      </c>
      <c r="B44" s="435" t="s">
        <v>60</v>
      </c>
      <c r="C44" s="436">
        <v>28247</v>
      </c>
      <c r="D44" s="434">
        <v>45</v>
      </c>
      <c r="E44" s="434">
        <v>45</v>
      </c>
      <c r="F44" s="437">
        <f t="shared" si="0"/>
        <v>1</v>
      </c>
      <c r="G44" s="455">
        <v>5188</v>
      </c>
      <c r="H44" s="456">
        <v>5136</v>
      </c>
      <c r="I44" s="456">
        <v>5393</v>
      </c>
      <c r="J44" s="456">
        <v>83</v>
      </c>
      <c r="K44" s="456">
        <v>89</v>
      </c>
      <c r="L44" s="457"/>
      <c r="M44" s="456">
        <v>147</v>
      </c>
      <c r="N44" s="456">
        <v>431</v>
      </c>
      <c r="O44" s="456">
        <v>237</v>
      </c>
      <c r="P44" s="456">
        <v>1823</v>
      </c>
      <c r="Q44" s="465"/>
      <c r="R44" s="456">
        <v>18</v>
      </c>
      <c r="S44" s="456">
        <v>56</v>
      </c>
      <c r="T44" s="456">
        <v>5</v>
      </c>
      <c r="U44" s="456">
        <v>3</v>
      </c>
      <c r="V44" s="456">
        <v>21</v>
      </c>
      <c r="W44" s="457"/>
      <c r="X44" s="457"/>
      <c r="Y44" s="456">
        <v>2</v>
      </c>
      <c r="Z44" s="456">
        <v>536</v>
      </c>
      <c r="AA44" s="458">
        <f t="shared" si="1"/>
        <v>19168</v>
      </c>
      <c r="AB44" s="459">
        <f t="shared" si="2"/>
        <v>0.67858533649591102</v>
      </c>
      <c r="AC44" s="455">
        <f t="shared" si="3"/>
        <v>5454</v>
      </c>
      <c r="AD44" s="458">
        <f>G44+J44+V44</f>
        <v>5292</v>
      </c>
      <c r="AE44" s="461" t="str">
        <f t="shared" si="4"/>
        <v>otro</v>
      </c>
      <c r="AF44" s="462" t="str">
        <f t="shared" si="5"/>
        <v>PRI-PVEM-NA</v>
      </c>
      <c r="AG44" s="124" t="str">
        <f t="shared" si="6"/>
        <v>PRI-PVEM-NA</v>
      </c>
      <c r="AH44" s="119">
        <f t="shared" si="7"/>
        <v>5454</v>
      </c>
      <c r="AI44" s="463">
        <f t="shared" si="8"/>
        <v>0.28453672787979967</v>
      </c>
      <c r="AJ44" s="470"/>
      <c r="AK44" s="465"/>
      <c r="AL44" s="466">
        <f>RANK(I44,($I44,$L44,$N44,$O44,$P44,$Q44,$W44,$X44,$Y44,$Z44,$AC44,$AD44))</f>
        <v>2</v>
      </c>
      <c r="AM44" s="465"/>
      <c r="AN44" s="457"/>
      <c r="AO44" s="457"/>
      <c r="AP44" s="457"/>
      <c r="AQ44" s="466">
        <f>RANK(N44,($G44,$I44,$J44,$L44,$N44,$O44,$P44,$Q44,$W44,$X44,$Y44,$Z44,$AC44))</f>
        <v>6</v>
      </c>
      <c r="AR44" s="466">
        <f>RANK(O44,($I44,$L44,$N44,$O44,$P44,$Q44,$W44,$X44,$Y44,$Z44,$AC44,$AD44))</f>
        <v>7</v>
      </c>
      <c r="AS44" s="466">
        <f>RANK(P44,($I44,$L44,$N44,$O44,$P44,$Q44,$W44,$X44,$Y44,$Z44,$AC44,$AD44))</f>
        <v>4</v>
      </c>
      <c r="AT44" s="457"/>
      <c r="AU44" s="457"/>
      <c r="AV44" s="457"/>
      <c r="AW44" s="466">
        <f>RANK(Y44,($I44,$L44,$N44,$O44,$P44,$Q44,$W44,$X44,$Y44,$Z44,$AC44,$AD44))</f>
        <v>8</v>
      </c>
      <c r="AX44" s="466">
        <f>RANK(Z44,($I44,$L44,$N44,$O44,$P44,$Q44,$W44,$X44,$Y44,$Z44,$AC44,$AD44))</f>
        <v>5</v>
      </c>
      <c r="AY44" s="466">
        <f>RANK(AC44,($I44,$L44,$N44,$O44,$P44,$Q44,$W44,$X44,$Y44,$Z44,$AC44,$AD44))</f>
        <v>1</v>
      </c>
      <c r="AZ44" s="471">
        <f>RANK(AD44,($I44,$L44,$N44,$O44,$P44,$Q44,$W44,$X44,$Y44,$Z44,$AC44,$AD44))</f>
        <v>3</v>
      </c>
      <c r="BA44" s="461" t="str">
        <f t="shared" si="9"/>
        <v>PRD</v>
      </c>
      <c r="BB44" s="124" t="str">
        <f t="shared" si="10"/>
        <v>ninguno</v>
      </c>
      <c r="BC44" s="124" t="str">
        <f t="shared" si="11"/>
        <v>PRD</v>
      </c>
      <c r="BD44" s="119">
        <f t="shared" si="12"/>
        <v>5393</v>
      </c>
      <c r="BE44" s="119" t="str">
        <f t="shared" si="13"/>
        <v>ninguno</v>
      </c>
      <c r="BF44" s="119">
        <f t="shared" si="14"/>
        <v>5393</v>
      </c>
      <c r="BG44" s="467">
        <f t="shared" si="15"/>
        <v>0.28135434056761272</v>
      </c>
      <c r="BH44" s="468">
        <f t="shared" si="16"/>
        <v>61</v>
      </c>
      <c r="BI44" s="467">
        <f t="shared" si="16"/>
        <v>3.1823873121869517E-3</v>
      </c>
    </row>
    <row r="45" spans="1:61">
      <c r="A45" s="434">
        <v>38</v>
      </c>
      <c r="B45" s="435" t="s">
        <v>522</v>
      </c>
      <c r="C45" s="436">
        <v>169368</v>
      </c>
      <c r="D45" s="434">
        <v>266</v>
      </c>
      <c r="E45" s="434">
        <v>266</v>
      </c>
      <c r="F45" s="437">
        <f t="shared" si="0"/>
        <v>1</v>
      </c>
      <c r="G45" s="455">
        <v>35609</v>
      </c>
      <c r="H45" s="456">
        <v>31541</v>
      </c>
      <c r="I45" s="456">
        <v>6065</v>
      </c>
      <c r="J45" s="456">
        <v>713</v>
      </c>
      <c r="K45" s="456">
        <v>1506</v>
      </c>
      <c r="L45" s="456">
        <v>940</v>
      </c>
      <c r="M45" s="456">
        <v>1511</v>
      </c>
      <c r="N45" s="456">
        <v>4657</v>
      </c>
      <c r="O45" s="456">
        <v>1490</v>
      </c>
      <c r="P45" s="456">
        <v>2635</v>
      </c>
      <c r="Q45" s="456">
        <v>329</v>
      </c>
      <c r="R45" s="456">
        <v>66</v>
      </c>
      <c r="S45" s="456">
        <v>585</v>
      </c>
      <c r="T45" s="456">
        <v>17</v>
      </c>
      <c r="U45" s="456">
        <v>3</v>
      </c>
      <c r="V45" s="465"/>
      <c r="W45" s="457"/>
      <c r="X45" s="457"/>
      <c r="Y45" s="456">
        <v>107</v>
      </c>
      <c r="Z45" s="456">
        <v>3874</v>
      </c>
      <c r="AA45" s="458">
        <f t="shared" si="1"/>
        <v>91648</v>
      </c>
      <c r="AB45" s="459">
        <f t="shared" si="2"/>
        <v>0.54111756648245246</v>
      </c>
      <c r="AC45" s="455">
        <f t="shared" si="3"/>
        <v>35229</v>
      </c>
      <c r="AD45" s="460"/>
      <c r="AE45" s="461" t="str">
        <f t="shared" si="4"/>
        <v>PAN</v>
      </c>
      <c r="AF45" s="462" t="str">
        <f t="shared" si="5"/>
        <v>ninguno</v>
      </c>
      <c r="AG45" s="124" t="str">
        <f t="shared" si="6"/>
        <v>PAN</v>
      </c>
      <c r="AH45" s="119">
        <f t="shared" si="7"/>
        <v>35609</v>
      </c>
      <c r="AI45" s="463">
        <f t="shared" si="8"/>
        <v>0.38854093924581007</v>
      </c>
      <c r="AJ45" s="464">
        <f>RANK(G45,($G45,$I45,$J45,$L45,$N45,$O45,$P45,$Q45,$W45,$X45,$Y45,$Z45,$AC45))</f>
        <v>1</v>
      </c>
      <c r="AK45" s="465"/>
      <c r="AL45" s="466">
        <f>RANK(I45,($G45,$I45,$J45,$L45,$N45,$O45,$P45,$Q45,$W45,$X45,$Y45,$Z45,$AC45))</f>
        <v>3</v>
      </c>
      <c r="AM45" s="466">
        <f>RANK(J45,($G45,$I45,$J45,$L45,$N45,$O45,$P45,$Q45,$W45,$X45,$Y45,$Z45,$AC45))</f>
        <v>9</v>
      </c>
      <c r="AN45" s="457"/>
      <c r="AO45" s="466">
        <f>RANK(L45,($G45,$I45,$J45,$L45,$N45,$O45,$P45,$Q45,$W45,$X45,$Y45,$Z45,$AC45))</f>
        <v>8</v>
      </c>
      <c r="AP45" s="457"/>
      <c r="AQ45" s="466">
        <f>RANK(N45,($G45,$I45,$J45,$L45,$N45,$O45,$P45,$Q45,$W45,$X45,$Y45,$Z45,$AC45))</f>
        <v>4</v>
      </c>
      <c r="AR45" s="466">
        <f>RANK(O45,($G45,$I45,$J45,$L45,$N45,$O45,$P45,$Q45,$W45,$X45,$Y45,$Z45,$AC45))</f>
        <v>7</v>
      </c>
      <c r="AS45" s="466">
        <f>RANK(P45,($G45,$I45,$J45,$L45,$N45,$O45,$P45,$Q45,$W45,$X45,$Y45,$Z45,$AC45))</f>
        <v>6</v>
      </c>
      <c r="AT45" s="466">
        <f>RANK(Q45,($G45,$I45,$J45,$L45,$N45,$O45,$P45,$Q45,$W45,$X45,$Y45,$Z45,$AC45))</f>
        <v>10</v>
      </c>
      <c r="AU45" s="457"/>
      <c r="AV45" s="457"/>
      <c r="AW45" s="466">
        <f>RANK(Y45,($G45,$I45,$J45,$L45,$N45,$O45,$P45,$Q45,$W45,$X45,$Y45,$Z45,$AC45))</f>
        <v>11</v>
      </c>
      <c r="AX45" s="466">
        <f>RANK(Z45,($G45,$I45,$J45,$L45,$N45,$O45,$P45,$Q45,$W45,$X45,$Y45,$Z45,$AC45))</f>
        <v>5</v>
      </c>
      <c r="AY45" s="466">
        <f>RANK(AC45,($G45,$I45,$J45,$L45,$N45,$O45,$P45,$Q45,$W45,$X45,$Y45,$Z45,$AC45))</f>
        <v>2</v>
      </c>
      <c r="AZ45" s="460"/>
      <c r="BA45" s="461" t="str">
        <f t="shared" si="9"/>
        <v>otro</v>
      </c>
      <c r="BB45" s="124" t="str">
        <f t="shared" si="10"/>
        <v>PRI-PVEM-NA</v>
      </c>
      <c r="BC45" s="124" t="str">
        <f t="shared" si="11"/>
        <v>PRI-PVEM-NA</v>
      </c>
      <c r="BD45" s="119" t="str">
        <f t="shared" si="12"/>
        <v>otro</v>
      </c>
      <c r="BE45" s="119">
        <f t="shared" si="13"/>
        <v>35229</v>
      </c>
      <c r="BF45" s="119">
        <f t="shared" si="14"/>
        <v>35229</v>
      </c>
      <c r="BG45" s="467">
        <f t="shared" si="15"/>
        <v>0.38439464036312848</v>
      </c>
      <c r="BH45" s="468">
        <f t="shared" si="16"/>
        <v>380</v>
      </c>
      <c r="BI45" s="467">
        <f t="shared" si="16"/>
        <v>4.1462988826815872E-3</v>
      </c>
    </row>
    <row r="46" spans="1:61">
      <c r="A46" s="434">
        <v>39</v>
      </c>
      <c r="B46" s="435" t="s">
        <v>61</v>
      </c>
      <c r="C46" s="436">
        <v>7469</v>
      </c>
      <c r="D46" s="434">
        <v>13</v>
      </c>
      <c r="E46" s="434">
        <v>13</v>
      </c>
      <c r="F46" s="437">
        <f t="shared" si="0"/>
        <v>1</v>
      </c>
      <c r="G46" s="455">
        <v>392</v>
      </c>
      <c r="H46" s="456">
        <v>1159</v>
      </c>
      <c r="I46" s="456">
        <v>1428</v>
      </c>
      <c r="J46" s="456">
        <v>663</v>
      </c>
      <c r="K46" s="456">
        <v>19</v>
      </c>
      <c r="L46" s="456">
        <v>542</v>
      </c>
      <c r="M46" s="456">
        <v>35</v>
      </c>
      <c r="N46" s="456">
        <v>314</v>
      </c>
      <c r="O46" s="456">
        <v>592</v>
      </c>
      <c r="P46" s="456">
        <v>73</v>
      </c>
      <c r="Q46" s="456">
        <v>133</v>
      </c>
      <c r="R46" s="456">
        <v>6</v>
      </c>
      <c r="S46" s="456">
        <v>10</v>
      </c>
      <c r="T46" s="456">
        <v>0</v>
      </c>
      <c r="U46" s="456">
        <v>0</v>
      </c>
      <c r="V46" s="465"/>
      <c r="W46" s="457"/>
      <c r="X46" s="457"/>
      <c r="Y46" s="456">
        <v>0</v>
      </c>
      <c r="Z46" s="456">
        <v>100</v>
      </c>
      <c r="AA46" s="458">
        <f t="shared" si="1"/>
        <v>5466</v>
      </c>
      <c r="AB46" s="459">
        <f t="shared" si="2"/>
        <v>0.7318248761547731</v>
      </c>
      <c r="AC46" s="455">
        <f t="shared" si="3"/>
        <v>1229</v>
      </c>
      <c r="AD46" s="460"/>
      <c r="AE46" s="461" t="str">
        <f t="shared" si="4"/>
        <v>PRD</v>
      </c>
      <c r="AF46" s="462" t="str">
        <f t="shared" si="5"/>
        <v>ninguno</v>
      </c>
      <c r="AG46" s="124" t="str">
        <f t="shared" si="6"/>
        <v>PRD</v>
      </c>
      <c r="AH46" s="119">
        <f t="shared" si="7"/>
        <v>1428</v>
      </c>
      <c r="AI46" s="463">
        <f t="shared" si="8"/>
        <v>0.26125137211855104</v>
      </c>
      <c r="AJ46" s="464">
        <f>RANK(G46,($G46,$I46,$J46,$L46,$N46,$O46,$P46,$Q46,$W46,$X46,$Y46,$Z46,$AC46))</f>
        <v>6</v>
      </c>
      <c r="AK46" s="465"/>
      <c r="AL46" s="466">
        <f>RANK(I46,($G46,$I46,$J46,$L46,$N46,$O46,$P46,$Q46,$W46,$X46,$Y46,$Z46,$AC46))</f>
        <v>1</v>
      </c>
      <c r="AM46" s="466">
        <f>RANK(J46,($G46,$I46,$J46,$L46,$N46,$O46,$P46,$Q46,$W46,$X46,$Y46,$Z46,$AC46))</f>
        <v>3</v>
      </c>
      <c r="AN46" s="457"/>
      <c r="AO46" s="466">
        <f>RANK(L46,($G46,$I46,$J46,$L46,$N46,$O46,$P46,$Q46,$W46,$X46,$Y46,$Z46,$AC46))</f>
        <v>5</v>
      </c>
      <c r="AP46" s="457"/>
      <c r="AQ46" s="466">
        <f>RANK(N46,($G46,$I46,$J46,$L46,$N46,$O46,$P46,$Q46,$W46,$X46,$Y46,$Z46,$AC46))</f>
        <v>7</v>
      </c>
      <c r="AR46" s="466">
        <f>RANK(O46,($G46,$I46,$J46,$L46,$N46,$O46,$P46,$Q46,$W46,$X46,$Y46,$Z46,$AC46))</f>
        <v>4</v>
      </c>
      <c r="AS46" s="466">
        <f>RANK(P46,($G46,$I46,$J46,$L46,$N46,$O46,$P46,$Q46,$W46,$X46,$Y46,$Z46,$AC46))</f>
        <v>10</v>
      </c>
      <c r="AT46" s="466">
        <f>RANK(Q46,($G46,$I46,$J46,$L46,$N46,$O46,$P46,$Q46,$W46,$X46,$Y46,$Z46,$AC46))</f>
        <v>8</v>
      </c>
      <c r="AU46" s="457"/>
      <c r="AV46" s="457"/>
      <c r="AW46" s="466">
        <f>RANK(Y46,($G46,$I46,$J46,$L46,$N46,$O46,$P46,$Q46,$W46,$X46,$Y46,$Z46,$AC46))</f>
        <v>11</v>
      </c>
      <c r="AX46" s="466">
        <f>RANK(Z46,($G46,$I46,$J46,$L46,$N46,$O46,$P46,$Q46,$W46,$X46,$Y46,$Z46,$AC46))</f>
        <v>9</v>
      </c>
      <c r="AY46" s="466">
        <f>RANK(AC46,($G46,$I46,$J46,$L46,$N46,$O46,$P46,$Q46,$W46,$X46,$Y46,$Z46,$AC46))</f>
        <v>2</v>
      </c>
      <c r="AZ46" s="460"/>
      <c r="BA46" s="461" t="str">
        <f t="shared" si="9"/>
        <v>otro</v>
      </c>
      <c r="BB46" s="124" t="str">
        <f t="shared" si="10"/>
        <v>PRI-PVEM-NA</v>
      </c>
      <c r="BC46" s="124" t="str">
        <f t="shared" si="11"/>
        <v>PRI-PVEM-NA</v>
      </c>
      <c r="BD46" s="119" t="str">
        <f t="shared" si="12"/>
        <v>otro</v>
      </c>
      <c r="BE46" s="119">
        <f t="shared" si="13"/>
        <v>1229</v>
      </c>
      <c r="BF46" s="119">
        <f t="shared" si="14"/>
        <v>1229</v>
      </c>
      <c r="BG46" s="467">
        <f t="shared" si="15"/>
        <v>0.22484449323088182</v>
      </c>
      <c r="BH46" s="468">
        <f t="shared" si="16"/>
        <v>199</v>
      </c>
      <c r="BI46" s="467">
        <f t="shared" si="16"/>
        <v>3.640687888766922E-2</v>
      </c>
    </row>
    <row r="47" spans="1:61">
      <c r="A47" s="434">
        <v>40</v>
      </c>
      <c r="B47" s="435" t="s">
        <v>62</v>
      </c>
      <c r="C47" s="436">
        <v>314782</v>
      </c>
      <c r="D47" s="434">
        <v>530</v>
      </c>
      <c r="E47" s="434">
        <v>530</v>
      </c>
      <c r="F47" s="437">
        <f t="shared" si="0"/>
        <v>1</v>
      </c>
      <c r="G47" s="455">
        <v>7330</v>
      </c>
      <c r="H47" s="456">
        <v>60284</v>
      </c>
      <c r="I47" s="456">
        <v>47234</v>
      </c>
      <c r="J47" s="456">
        <v>1442</v>
      </c>
      <c r="K47" s="456">
        <v>3338</v>
      </c>
      <c r="L47" s="456">
        <v>2546</v>
      </c>
      <c r="M47" s="456">
        <v>2632</v>
      </c>
      <c r="N47" s="456">
        <v>8765</v>
      </c>
      <c r="O47" s="456">
        <v>2434</v>
      </c>
      <c r="P47" s="456">
        <v>4402</v>
      </c>
      <c r="Q47" s="456">
        <v>594</v>
      </c>
      <c r="R47" s="456">
        <v>258</v>
      </c>
      <c r="S47" s="456">
        <v>811</v>
      </c>
      <c r="T47" s="456">
        <v>49</v>
      </c>
      <c r="U47" s="456">
        <v>10</v>
      </c>
      <c r="V47" s="465"/>
      <c r="W47" s="457"/>
      <c r="X47" s="457"/>
      <c r="Y47" s="456">
        <v>152</v>
      </c>
      <c r="Z47" s="456">
        <v>4902</v>
      </c>
      <c r="AA47" s="458">
        <f t="shared" si="1"/>
        <v>147183</v>
      </c>
      <c r="AB47" s="459">
        <f t="shared" si="2"/>
        <v>0.46757120801062324</v>
      </c>
      <c r="AC47" s="455">
        <f t="shared" si="3"/>
        <v>67382</v>
      </c>
      <c r="AD47" s="460"/>
      <c r="AE47" s="461" t="str">
        <f t="shared" si="4"/>
        <v>otro</v>
      </c>
      <c r="AF47" s="462" t="str">
        <f t="shared" si="5"/>
        <v>PRI-PVEM-NA</v>
      </c>
      <c r="AG47" s="124" t="str">
        <f t="shared" si="6"/>
        <v>PRI-PVEM-NA</v>
      </c>
      <c r="AH47" s="119">
        <f t="shared" si="7"/>
        <v>67382</v>
      </c>
      <c r="AI47" s="463">
        <f t="shared" si="8"/>
        <v>0.45781102437102111</v>
      </c>
      <c r="AJ47" s="464">
        <f>RANK(G47,($G47,$I47,$J47,$L47,$N47,$O47,$P47,$Q47,$W47,$X47,$Y47,$Z47,$AC47))</f>
        <v>4</v>
      </c>
      <c r="AK47" s="465"/>
      <c r="AL47" s="466">
        <f>RANK(I47,($G47,$I47,$J47,$L47,$N47,$O47,$P47,$Q47,$W47,$X47,$Y47,$Z47,$AC47))</f>
        <v>2</v>
      </c>
      <c r="AM47" s="466">
        <f>RANK(J47,($G47,$I47,$J47,$L47,$N47,$O47,$P47,$Q47,$W47,$X47,$Y47,$Z47,$AC47))</f>
        <v>9</v>
      </c>
      <c r="AN47" s="457"/>
      <c r="AO47" s="466">
        <f>RANK(L47,($G47,$I47,$J47,$L47,$N47,$O47,$P47,$Q47,$W47,$X47,$Y47,$Z47,$AC47))</f>
        <v>7</v>
      </c>
      <c r="AP47" s="457"/>
      <c r="AQ47" s="466">
        <f>RANK(N47,($G47,$I47,$J47,$L47,$N47,$O47,$P47,$Q47,$W47,$X47,$Y47,$Z47,$AC47))</f>
        <v>3</v>
      </c>
      <c r="AR47" s="466">
        <f>RANK(O47,($G47,$I47,$J47,$L47,$N47,$O47,$P47,$Q47,$W47,$X47,$Y47,$Z47,$AC47))</f>
        <v>8</v>
      </c>
      <c r="AS47" s="466">
        <f>RANK(P47,($G47,$I47,$J47,$L47,$N47,$O47,$P47,$Q47,$W47,$X47,$Y47,$Z47,$AC47))</f>
        <v>6</v>
      </c>
      <c r="AT47" s="466">
        <f>RANK(Q47,($G47,$I47,$J47,$L47,$N47,$O47,$P47,$Q47,$W47,$X47,$Y47,$Z47,$AC47))</f>
        <v>10</v>
      </c>
      <c r="AU47" s="457"/>
      <c r="AV47" s="457"/>
      <c r="AW47" s="466">
        <f>RANK(Y47,($G47,$I47,$J47,$L47,$N47,$O47,$P47,$Q47,$W47,$X47,$Y47,$Z47,$AC47))</f>
        <v>11</v>
      </c>
      <c r="AX47" s="466">
        <f>RANK(Z47,($G47,$I47,$J47,$L47,$N47,$O47,$P47,$Q47,$W47,$X47,$Y47,$Z47,$AC47))</f>
        <v>5</v>
      </c>
      <c r="AY47" s="466">
        <f>RANK(AC47,($G47,$I47,$J47,$L47,$N47,$O47,$P47,$Q47,$W47,$X47,$Y47,$Z47,$AC47))</f>
        <v>1</v>
      </c>
      <c r="AZ47" s="460"/>
      <c r="BA47" s="461" t="str">
        <f t="shared" si="9"/>
        <v>PRD</v>
      </c>
      <c r="BB47" s="124" t="str">
        <f t="shared" si="10"/>
        <v>ninguno</v>
      </c>
      <c r="BC47" s="124" t="str">
        <f t="shared" si="11"/>
        <v>PRD</v>
      </c>
      <c r="BD47" s="119">
        <f t="shared" si="12"/>
        <v>47234</v>
      </c>
      <c r="BE47" s="119" t="str">
        <f t="shared" si="13"/>
        <v>ninguno</v>
      </c>
      <c r="BF47" s="119">
        <f t="shared" si="14"/>
        <v>47234</v>
      </c>
      <c r="BG47" s="467">
        <f t="shared" si="15"/>
        <v>0.3209202149704789</v>
      </c>
      <c r="BH47" s="468">
        <f t="shared" si="16"/>
        <v>20148</v>
      </c>
      <c r="BI47" s="467">
        <f t="shared" si="16"/>
        <v>0.13689080940054221</v>
      </c>
    </row>
    <row r="48" spans="1:61">
      <c r="A48" s="434">
        <v>41</v>
      </c>
      <c r="B48" s="435" t="s">
        <v>63</v>
      </c>
      <c r="C48" s="436">
        <v>24641</v>
      </c>
      <c r="D48" s="434">
        <v>45</v>
      </c>
      <c r="E48" s="434">
        <v>45</v>
      </c>
      <c r="F48" s="437">
        <f t="shared" si="0"/>
        <v>1</v>
      </c>
      <c r="G48" s="472">
        <v>1704</v>
      </c>
      <c r="H48" s="126">
        <v>6571</v>
      </c>
      <c r="I48" s="126">
        <v>1179</v>
      </c>
      <c r="J48" s="126">
        <v>743</v>
      </c>
      <c r="K48" s="126">
        <v>119</v>
      </c>
      <c r="L48" s="126">
        <v>657</v>
      </c>
      <c r="M48" s="126">
        <v>148</v>
      </c>
      <c r="N48" s="126">
        <v>102</v>
      </c>
      <c r="O48" s="126">
        <v>2267</v>
      </c>
      <c r="P48" s="126">
        <v>1080</v>
      </c>
      <c r="Q48" s="126">
        <v>477</v>
      </c>
      <c r="R48" s="473">
        <v>220</v>
      </c>
      <c r="S48" s="473">
        <v>55</v>
      </c>
      <c r="T48" s="473">
        <v>11</v>
      </c>
      <c r="U48" s="473">
        <v>2</v>
      </c>
      <c r="V48" s="126">
        <v>163</v>
      </c>
      <c r="W48" s="457"/>
      <c r="X48" s="457"/>
      <c r="Y48" s="126">
        <v>13</v>
      </c>
      <c r="Z48" s="126">
        <v>617</v>
      </c>
      <c r="AA48" s="458">
        <f t="shared" si="1"/>
        <v>16128</v>
      </c>
      <c r="AB48" s="459">
        <f t="shared" si="2"/>
        <v>0.65451889127876306</v>
      </c>
      <c r="AC48" s="455">
        <f t="shared" si="3"/>
        <v>7126</v>
      </c>
      <c r="AD48" s="458">
        <f>G48+J48+V48</f>
        <v>2610</v>
      </c>
      <c r="AE48" s="461" t="str">
        <f t="shared" si="4"/>
        <v>otro</v>
      </c>
      <c r="AF48" s="462" t="str">
        <f t="shared" si="5"/>
        <v>PRI-PVEM-NA</v>
      </c>
      <c r="AG48" s="124" t="str">
        <f t="shared" si="6"/>
        <v>PRI-PVEM-NA</v>
      </c>
      <c r="AH48" s="119">
        <f t="shared" si="7"/>
        <v>7126</v>
      </c>
      <c r="AI48" s="463">
        <f t="shared" si="8"/>
        <v>0.44184027777777779</v>
      </c>
      <c r="AJ48" s="470"/>
      <c r="AK48" s="465"/>
      <c r="AL48" s="466">
        <f>RANK(I48,($I48,$L48,$N48,$O48,$P48,$Q48,$W48,$X48,$Y48,$Z48,$AC48,$AD48))</f>
        <v>4</v>
      </c>
      <c r="AM48" s="465"/>
      <c r="AN48" s="457"/>
      <c r="AO48" s="466">
        <f>RANK(L48,($I48,$L48,$N48,$O48,$P48,$Q48,$W48,$X48,$Y48,$Z48,$AC48,$AD48))</f>
        <v>6</v>
      </c>
      <c r="AP48" s="457"/>
      <c r="AQ48" s="466">
        <f>RANK(N48,($I48,$L48,$N48,$O48,$P48,$Q48,$W48,$X48,$Y48,$Z48,$AC48,$AD48))</f>
        <v>9</v>
      </c>
      <c r="AR48" s="466">
        <f>RANK(O48,($I48,$L48,$N48,$O48,$P48,$Q48,$W48,$X48,$Y48,$Z48,$AC48,$AD48))</f>
        <v>3</v>
      </c>
      <c r="AS48" s="466">
        <f>RANK(P48,($I48,$L48,$N48,$O48,$P48,$Q48,$W48,$X48,$Y48,$Z48,$AC48,$AD48))</f>
        <v>5</v>
      </c>
      <c r="AT48" s="466">
        <f>RANK(Q48,($I48,$L48,$N48,$O48,$P48,$Q48,$W48,$X48,$Y48,$Z48,$AC48,$AD48))</f>
        <v>8</v>
      </c>
      <c r="AU48" s="457"/>
      <c r="AV48" s="457"/>
      <c r="AW48" s="466">
        <f>RANK(Y48,($I48,$L48,$N48,$O48,$P48,$Q48,$W48,$X48,$Y48,$Z48,$AC48,$AD48))</f>
        <v>10</v>
      </c>
      <c r="AX48" s="466">
        <f>RANK(Z48,($I48,$L48,$N48,$O48,$P48,$Q48,$W48,$X48,$Y48,$Z48,$AC48,$AD48))</f>
        <v>7</v>
      </c>
      <c r="AY48" s="466">
        <f>RANK(AC48,($I48,$L48,$N48,$O48,$P48,$Q48,$W48,$X48,$Y48,$Z48,$AC48,$AD48))</f>
        <v>1</v>
      </c>
      <c r="AZ48" s="471">
        <f>RANK(AD48,($I48,$L48,$N48,$O48,$P48,$Q48,$W48,$X48,$Y48,$Z48,$AC48,$AD48))</f>
        <v>2</v>
      </c>
      <c r="BA48" s="461" t="str">
        <f t="shared" si="9"/>
        <v>otro</v>
      </c>
      <c r="BB48" s="124" t="str">
        <f t="shared" si="10"/>
        <v>PAN-PT</v>
      </c>
      <c r="BC48" s="124" t="str">
        <f t="shared" si="11"/>
        <v>PAN-PT</v>
      </c>
      <c r="BD48" s="119" t="str">
        <f t="shared" si="12"/>
        <v>otro</v>
      </c>
      <c r="BE48" s="119">
        <f t="shared" si="13"/>
        <v>2610</v>
      </c>
      <c r="BF48" s="119">
        <f t="shared" si="14"/>
        <v>2610</v>
      </c>
      <c r="BG48" s="467">
        <f t="shared" si="15"/>
        <v>0.16183035714285715</v>
      </c>
      <c r="BH48" s="468">
        <f t="shared" si="16"/>
        <v>4516</v>
      </c>
      <c r="BI48" s="467">
        <f t="shared" si="16"/>
        <v>0.28000992063492064</v>
      </c>
    </row>
    <row r="49" spans="1:61">
      <c r="A49" s="434">
        <v>42</v>
      </c>
      <c r="B49" s="435" t="s">
        <v>64</v>
      </c>
      <c r="C49" s="436">
        <v>4770</v>
      </c>
      <c r="D49" s="434">
        <v>9</v>
      </c>
      <c r="E49" s="434">
        <v>9</v>
      </c>
      <c r="F49" s="437">
        <f t="shared" si="0"/>
        <v>1</v>
      </c>
      <c r="G49" s="455">
        <v>2159</v>
      </c>
      <c r="H49" s="456">
        <v>1591</v>
      </c>
      <c r="I49" s="456">
        <v>228</v>
      </c>
      <c r="J49" s="456">
        <v>9</v>
      </c>
      <c r="K49" s="456">
        <v>7</v>
      </c>
      <c r="L49" s="457"/>
      <c r="M49" s="456">
        <v>5</v>
      </c>
      <c r="N49" s="456">
        <v>2</v>
      </c>
      <c r="O49" s="456">
        <v>2</v>
      </c>
      <c r="P49" s="465"/>
      <c r="Q49" s="465"/>
      <c r="R49" s="456">
        <v>1</v>
      </c>
      <c r="S49" s="456">
        <v>13</v>
      </c>
      <c r="T49" s="456">
        <v>2</v>
      </c>
      <c r="U49" s="456">
        <v>1</v>
      </c>
      <c r="V49" s="465"/>
      <c r="W49" s="457"/>
      <c r="X49" s="457"/>
      <c r="Y49" s="456">
        <v>0</v>
      </c>
      <c r="Z49" s="456">
        <v>96</v>
      </c>
      <c r="AA49" s="458">
        <f t="shared" si="1"/>
        <v>4116</v>
      </c>
      <c r="AB49" s="459">
        <f t="shared" si="2"/>
        <v>0.86289308176100632</v>
      </c>
      <c r="AC49" s="455">
        <f t="shared" si="3"/>
        <v>1620</v>
      </c>
      <c r="AD49" s="460"/>
      <c r="AE49" s="461" t="str">
        <f t="shared" si="4"/>
        <v>PAN</v>
      </c>
      <c r="AF49" s="462" t="str">
        <f t="shared" si="5"/>
        <v>ninguno</v>
      </c>
      <c r="AG49" s="124" t="str">
        <f t="shared" si="6"/>
        <v>PAN</v>
      </c>
      <c r="AH49" s="119">
        <f t="shared" si="7"/>
        <v>2159</v>
      </c>
      <c r="AI49" s="463">
        <f t="shared" si="8"/>
        <v>0.52453838678328479</v>
      </c>
      <c r="AJ49" s="464">
        <f>RANK(G49,($G49,$I49,$J49,$L49,$N49,$O49,$P49,$Q49,$W49,$X49,$Y49,$Z49,$AC49))</f>
        <v>1</v>
      </c>
      <c r="AK49" s="465"/>
      <c r="AL49" s="466">
        <f>RANK(I49,($G49,$I49,$J49,$L49,$N49,$O49,$P49,$Q49,$W49,$X49,$Y49,$Z49,$AC49))</f>
        <v>3</v>
      </c>
      <c r="AM49" s="466">
        <f>RANK(J49,($G49,$I49,$J49,$L49,$N49,$O49,$P49,$Q49,$W49,$X49,$Y49,$Z49,$AC49))</f>
        <v>5</v>
      </c>
      <c r="AN49" s="457"/>
      <c r="AO49" s="457"/>
      <c r="AP49" s="457"/>
      <c r="AQ49" s="466">
        <f>RANK(N49,($G49,$I49,$J49,$L49,$N49,$O49,$P49,$Q49,$W49,$X49,$Y49,$Z49,$AC49))</f>
        <v>6</v>
      </c>
      <c r="AR49" s="466">
        <f>RANK(O49,($G49,$I49,$J49,$L49,$N49,$O49,$P49,$Q49,$W49,$X49,$Y49,$Z49,$AC49))</f>
        <v>6</v>
      </c>
      <c r="AS49" s="457"/>
      <c r="AT49" s="457"/>
      <c r="AU49" s="457"/>
      <c r="AV49" s="457"/>
      <c r="AW49" s="466">
        <f>RANK(Y49,($G49,$I49,$J49,$L49,$N49,$O49,$P49,$Q49,$W49,$X49,$Y49,$Z49,$AC49))</f>
        <v>8</v>
      </c>
      <c r="AX49" s="466">
        <f>RANK(Z49,($G49,$I49,$J49,$L49,$N49,$O49,$P49,$Q49,$W49,$X49,$Y49,$Z49,$AC49))</f>
        <v>4</v>
      </c>
      <c r="AY49" s="466">
        <f>RANK(AC49,($G49,$I49,$J49,$L49,$N49,$O49,$P49,$Q49,$W49,$X49,$Y49,$Z49,$AC49))</f>
        <v>2</v>
      </c>
      <c r="AZ49" s="460"/>
      <c r="BA49" s="461" t="str">
        <f t="shared" si="9"/>
        <v>otro</v>
      </c>
      <c r="BB49" s="124" t="str">
        <f t="shared" si="10"/>
        <v>PRI-PVEM-NA</v>
      </c>
      <c r="BC49" s="124" t="str">
        <f t="shared" si="11"/>
        <v>PRI-PVEM-NA</v>
      </c>
      <c r="BD49" s="119" t="str">
        <f t="shared" si="12"/>
        <v>otro</v>
      </c>
      <c r="BE49" s="119">
        <f t="shared" si="13"/>
        <v>1620</v>
      </c>
      <c r="BF49" s="119">
        <f t="shared" si="14"/>
        <v>1620</v>
      </c>
      <c r="BG49" s="467">
        <f t="shared" si="15"/>
        <v>0.39358600583090381</v>
      </c>
      <c r="BH49" s="468">
        <f t="shared" si="16"/>
        <v>539</v>
      </c>
      <c r="BI49" s="467">
        <f t="shared" si="16"/>
        <v>0.13095238095238099</v>
      </c>
    </row>
    <row r="50" spans="1:61">
      <c r="A50" s="434">
        <v>43</v>
      </c>
      <c r="B50" s="435" t="s">
        <v>65</v>
      </c>
      <c r="C50" s="436">
        <v>100673</v>
      </c>
      <c r="D50" s="434">
        <v>160</v>
      </c>
      <c r="E50" s="434">
        <v>160</v>
      </c>
      <c r="F50" s="437">
        <f t="shared" si="0"/>
        <v>1</v>
      </c>
      <c r="G50" s="455">
        <v>3851</v>
      </c>
      <c r="H50" s="456">
        <v>21449</v>
      </c>
      <c r="I50" s="456">
        <v>2074</v>
      </c>
      <c r="J50" s="456">
        <v>811</v>
      </c>
      <c r="K50" s="456">
        <v>1156</v>
      </c>
      <c r="L50" s="456">
        <v>12184</v>
      </c>
      <c r="M50" s="456">
        <v>2760</v>
      </c>
      <c r="N50" s="456">
        <v>1719</v>
      </c>
      <c r="O50" s="456">
        <v>1190</v>
      </c>
      <c r="P50" s="456">
        <v>2652</v>
      </c>
      <c r="Q50" s="456">
        <v>307</v>
      </c>
      <c r="R50" s="465"/>
      <c r="S50" s="465"/>
      <c r="T50" s="465"/>
      <c r="U50" s="465"/>
      <c r="V50" s="465"/>
      <c r="W50" s="457"/>
      <c r="X50" s="457"/>
      <c r="Y50" s="456">
        <v>26</v>
      </c>
      <c r="Z50" s="456">
        <v>2236</v>
      </c>
      <c r="AA50" s="458">
        <f t="shared" si="1"/>
        <v>52415</v>
      </c>
      <c r="AB50" s="459">
        <f t="shared" si="2"/>
        <v>0.52064605206957182</v>
      </c>
      <c r="AC50" s="470"/>
      <c r="AD50" s="460"/>
      <c r="AE50" s="461" t="str">
        <f t="shared" si="4"/>
        <v>PRI</v>
      </c>
      <c r="AF50" s="462" t="str">
        <f t="shared" si="5"/>
        <v>ninguno</v>
      </c>
      <c r="AG50" s="124" t="str">
        <f t="shared" si="6"/>
        <v>PRI</v>
      </c>
      <c r="AH50" s="119">
        <f t="shared" si="7"/>
        <v>21449</v>
      </c>
      <c r="AI50" s="463">
        <f t="shared" si="8"/>
        <v>0.40921491939330346</v>
      </c>
      <c r="AJ50" s="464">
        <f>RANK(G50,($G50,$H50,$I50,$J50,$K50,$L50,$M50,$N50,$O50,$P50,$Q50,$W50,$X50,$Y50,$Z50))</f>
        <v>3</v>
      </c>
      <c r="AK50" s="466">
        <f>RANK(H50,($G50,$H50,$I50,$J50,$K50,$L50,$M50,$N50,$O50,$P50,$Q50,$W50,$X50,$Y50,$Z50))</f>
        <v>1</v>
      </c>
      <c r="AL50" s="466">
        <f>RANK(I50,($G50,$H50,$I50,$J50,$K50,$L50,$M50,$N50,$O50,$P50,$Q50,$W50,$X50,$Y50,$Z50))</f>
        <v>7</v>
      </c>
      <c r="AM50" s="466">
        <f>RANK(J50,($G50,$H50,$I50,$J50,$K50,$L50,$M50,$N50,$O50,$P50,$Q50,$W50,$X50,$Y50,$Z50))</f>
        <v>11</v>
      </c>
      <c r="AN50" s="466">
        <f>RANK(K50,($G50,$H50,$I50,$J50,$K50,$L50,$M50,$N50,$O50,$P50,$Q50,$W50,$X50,$Y50,$Z50))</f>
        <v>10</v>
      </c>
      <c r="AO50" s="466">
        <f>RANK(L50,($G50,$H50,$I50,$J50,$K50,$L50,$M50,$N50,$O50,$P50,$Q50,$W50,$X50,$Y50,$Z50))</f>
        <v>2</v>
      </c>
      <c r="AP50" s="466">
        <f>RANK(M50,($G50,$H50,$I50,$J50,$K50,$L50,$M50,$N50,$O50,$P50,$Q50,$W50,$X50,$Y50,$Z50))</f>
        <v>4</v>
      </c>
      <c r="AQ50" s="466">
        <f>RANK(N50,($G50,$H50,$I50,$J50,$K50,$L50,$M50,$N50,$O50,$P50,$Q50,$W50,$X50,$Y50,$Z50))</f>
        <v>8</v>
      </c>
      <c r="AR50" s="466">
        <f>RANK(O50,($G50,$H50,$I50,$J50,$K50,$L50,$M50,$N50,$O50,$P50,$Q50,$W50,$X50,$Y50,$Z50))</f>
        <v>9</v>
      </c>
      <c r="AS50" s="466">
        <f>RANK(P50,($G50,$H50,$I50,$J50,$K50,$L50,$M50,$N50,$O50,$P50,$Q50,$W50,$X50,$Y50,$Z50))</f>
        <v>5</v>
      </c>
      <c r="AT50" s="466">
        <f>RANK(Q50,($G50,$H50,$I50,$J50,$K50,$L50,$M50,$N50,$O50,$P50,$Q50,$W50,$X50,$Y50,$Z50))</f>
        <v>12</v>
      </c>
      <c r="AU50" s="457"/>
      <c r="AV50" s="457"/>
      <c r="AW50" s="466">
        <f>RANK(Y50,($G50,$H50,$I50,$J50,$K50,$L50,$M50,$N50,$O50,$P50,$Q50,$W50,$X50,$Y50,$Z50))</f>
        <v>13</v>
      </c>
      <c r="AX50" s="466">
        <f>RANK(Z50,($G50,$H50,$I50,$J50,$K50,$L50,$M50,$N50,$O50,$P50,$Q50,$W50,$X50,$Y50,$Z50))</f>
        <v>6</v>
      </c>
      <c r="AY50" s="465"/>
      <c r="AZ50" s="460"/>
      <c r="BA50" s="461" t="str">
        <f t="shared" si="9"/>
        <v>MC</v>
      </c>
      <c r="BB50" s="124" t="str">
        <f t="shared" si="10"/>
        <v>ninguno</v>
      </c>
      <c r="BC50" s="124" t="str">
        <f t="shared" si="11"/>
        <v>MC</v>
      </c>
      <c r="BD50" s="119">
        <f t="shared" si="12"/>
        <v>12184</v>
      </c>
      <c r="BE50" s="119" t="str">
        <f t="shared" si="13"/>
        <v>ninguno</v>
      </c>
      <c r="BF50" s="119">
        <f t="shared" si="14"/>
        <v>12184</v>
      </c>
      <c r="BG50" s="467">
        <f t="shared" si="15"/>
        <v>0.2324525422111991</v>
      </c>
      <c r="BH50" s="468">
        <f t="shared" si="16"/>
        <v>9265</v>
      </c>
      <c r="BI50" s="467">
        <f t="shared" si="16"/>
        <v>0.17676237718210436</v>
      </c>
    </row>
    <row r="51" spans="1:61">
      <c r="A51" s="434">
        <v>44</v>
      </c>
      <c r="B51" s="435" t="s">
        <v>66</v>
      </c>
      <c r="C51" s="436">
        <v>16018</v>
      </c>
      <c r="D51" s="434">
        <v>25</v>
      </c>
      <c r="E51" s="434">
        <v>25</v>
      </c>
      <c r="F51" s="437">
        <f t="shared" si="0"/>
        <v>1</v>
      </c>
      <c r="G51" s="455">
        <v>3106</v>
      </c>
      <c r="H51" s="456">
        <v>3068</v>
      </c>
      <c r="I51" s="456">
        <v>1363</v>
      </c>
      <c r="J51" s="456">
        <v>142</v>
      </c>
      <c r="K51" s="456">
        <v>23</v>
      </c>
      <c r="L51" s="456">
        <v>77</v>
      </c>
      <c r="M51" s="456">
        <v>51</v>
      </c>
      <c r="N51" s="456">
        <v>233</v>
      </c>
      <c r="O51" s="456">
        <v>176</v>
      </c>
      <c r="P51" s="465"/>
      <c r="Q51" s="465"/>
      <c r="R51" s="456">
        <v>10</v>
      </c>
      <c r="S51" s="456">
        <v>20</v>
      </c>
      <c r="T51" s="456">
        <v>2</v>
      </c>
      <c r="U51" s="456">
        <v>0</v>
      </c>
      <c r="V51" s="456">
        <v>67</v>
      </c>
      <c r="W51" s="457"/>
      <c r="X51" s="457"/>
      <c r="Y51" s="456">
        <v>5</v>
      </c>
      <c r="Z51" s="456">
        <v>208</v>
      </c>
      <c r="AA51" s="458">
        <f t="shared" si="1"/>
        <v>8551</v>
      </c>
      <c r="AB51" s="459">
        <f t="shared" si="2"/>
        <v>0.53383693344986893</v>
      </c>
      <c r="AC51" s="455">
        <f t="shared" si="3"/>
        <v>3174</v>
      </c>
      <c r="AD51" s="458">
        <f>G51+J51+V51</f>
        <v>3315</v>
      </c>
      <c r="AE51" s="461" t="str">
        <f t="shared" si="4"/>
        <v>otro</v>
      </c>
      <c r="AF51" s="462" t="str">
        <f t="shared" si="5"/>
        <v>PAN-PT</v>
      </c>
      <c r="AG51" s="124" t="str">
        <f t="shared" si="6"/>
        <v>PAN-PT</v>
      </c>
      <c r="AH51" s="119">
        <f t="shared" si="7"/>
        <v>3315</v>
      </c>
      <c r="AI51" s="463">
        <f t="shared" si="8"/>
        <v>0.38767395626242546</v>
      </c>
      <c r="AJ51" s="470"/>
      <c r="AK51" s="465"/>
      <c r="AL51" s="466">
        <f>RANK(I51,($I51,$L51,$N51,$O51,$P51,$Q51,$W51,$X51,$Y51,$Z51,$AC51,$AD51))</f>
        <v>3</v>
      </c>
      <c r="AM51" s="465"/>
      <c r="AN51" s="457"/>
      <c r="AO51" s="466">
        <f>RANK(L51,($I51,$L51,$N51,$O51,$P51,$Q51,$W51,$X51,$Y51,$Z51,$AC51,$AD51))</f>
        <v>7</v>
      </c>
      <c r="AP51" s="457"/>
      <c r="AQ51" s="466">
        <f>RANK(N51,($I51,$L51,$N51,$O51,$P51,$Q51,$W51,$X51,$Y51,$Z51,$AC51,$AD51))</f>
        <v>4</v>
      </c>
      <c r="AR51" s="466">
        <f>RANK(O51,($I51,$L51,$N51,$O51,$P51,$Q51,$W51,$X51,$Y51,$Z51,$AC51,$AD51))</f>
        <v>6</v>
      </c>
      <c r="AS51" s="457"/>
      <c r="AT51" s="457"/>
      <c r="AU51" s="457"/>
      <c r="AV51" s="457"/>
      <c r="AW51" s="466">
        <f>RANK(Y51,($I51,$L51,$N51,$O51,$P51,$Q51,$W51,$X51,$Y51,$Z51,$AC51,$AD51))</f>
        <v>8</v>
      </c>
      <c r="AX51" s="466">
        <f>RANK(Z51,($I51,$L51,$N51,$O51,$P51,$Q51,$W51,$X51,$Y51,$Z51,$AC51,$AD51))</f>
        <v>5</v>
      </c>
      <c r="AY51" s="466">
        <f>RANK(AC51,($I51,$L51,$N51,$O51,$P51,$Q51,$W51,$X51,$Y51,$Z51,$AC51,$AD51))</f>
        <v>2</v>
      </c>
      <c r="AZ51" s="471">
        <f>RANK(AD51,($I51,$L51,$N51,$O51,$P51,$Q51,$W51,$X51,$Y51,$Z51,$AC51,$AD51))</f>
        <v>1</v>
      </c>
      <c r="BA51" s="461" t="str">
        <f t="shared" si="9"/>
        <v>otro</v>
      </c>
      <c r="BB51" s="124" t="str">
        <f t="shared" si="10"/>
        <v>PRI-PVEM-NA</v>
      </c>
      <c r="BC51" s="124" t="str">
        <f t="shared" si="11"/>
        <v>PRI-PVEM-NA</v>
      </c>
      <c r="BD51" s="119" t="str">
        <f t="shared" si="12"/>
        <v>otro</v>
      </c>
      <c r="BE51" s="119">
        <f t="shared" si="13"/>
        <v>3174</v>
      </c>
      <c r="BF51" s="119">
        <f t="shared" si="14"/>
        <v>3174</v>
      </c>
      <c r="BG51" s="467">
        <f t="shared" si="15"/>
        <v>0.37118465676529061</v>
      </c>
      <c r="BH51" s="468">
        <f t="shared" si="16"/>
        <v>141</v>
      </c>
      <c r="BI51" s="467">
        <f t="shared" si="16"/>
        <v>1.6489299497134846E-2</v>
      </c>
    </row>
    <row r="52" spans="1:61">
      <c r="A52" s="434">
        <v>45</v>
      </c>
      <c r="B52" s="435" t="s">
        <v>67</v>
      </c>
      <c r="C52" s="436">
        <v>18275</v>
      </c>
      <c r="D52" s="434">
        <v>31</v>
      </c>
      <c r="E52" s="434">
        <v>31</v>
      </c>
      <c r="F52" s="437">
        <f t="shared" si="0"/>
        <v>1</v>
      </c>
      <c r="G52" s="455">
        <v>2485</v>
      </c>
      <c r="H52" s="456">
        <v>2568</v>
      </c>
      <c r="I52" s="456">
        <v>695</v>
      </c>
      <c r="J52" s="456">
        <v>193</v>
      </c>
      <c r="K52" s="456">
        <v>117</v>
      </c>
      <c r="L52" s="456">
        <v>2446</v>
      </c>
      <c r="M52" s="456">
        <v>96</v>
      </c>
      <c r="N52" s="456">
        <v>383</v>
      </c>
      <c r="O52" s="456">
        <v>253</v>
      </c>
      <c r="P52" s="456">
        <v>831</v>
      </c>
      <c r="Q52" s="456">
        <v>165</v>
      </c>
      <c r="R52" s="456">
        <v>13</v>
      </c>
      <c r="S52" s="456">
        <v>25</v>
      </c>
      <c r="T52" s="456">
        <v>2</v>
      </c>
      <c r="U52" s="456">
        <v>1</v>
      </c>
      <c r="V52" s="465"/>
      <c r="W52" s="457"/>
      <c r="X52" s="457"/>
      <c r="Y52" s="456">
        <v>11</v>
      </c>
      <c r="Z52" s="456">
        <v>258</v>
      </c>
      <c r="AA52" s="458">
        <f t="shared" si="1"/>
        <v>10542</v>
      </c>
      <c r="AB52" s="459">
        <f t="shared" si="2"/>
        <v>0.57685362517099859</v>
      </c>
      <c r="AC52" s="455">
        <f t="shared" si="3"/>
        <v>2822</v>
      </c>
      <c r="AD52" s="460"/>
      <c r="AE52" s="461" t="str">
        <f t="shared" si="4"/>
        <v>otro</v>
      </c>
      <c r="AF52" s="462" t="str">
        <f t="shared" si="5"/>
        <v>PRI-PVEM-NA</v>
      </c>
      <c r="AG52" s="124" t="str">
        <f t="shared" si="6"/>
        <v>PRI-PVEM-NA</v>
      </c>
      <c r="AH52" s="119">
        <f t="shared" si="7"/>
        <v>2822</v>
      </c>
      <c r="AI52" s="463">
        <f t="shared" si="8"/>
        <v>0.26769114020110035</v>
      </c>
      <c r="AJ52" s="464">
        <f>RANK(G52,($G52,$I52,$J52,$L52,$N52,$O52,$P52,$Q52,$W52,$X52,$Y52,$Z52,$AC52))</f>
        <v>2</v>
      </c>
      <c r="AK52" s="465"/>
      <c r="AL52" s="466">
        <f>RANK(I52,($G52,$I52,$J52,$L52,$N52,$O52,$P52,$Q52,$W52,$X52,$Y52,$Z52,$AC52))</f>
        <v>5</v>
      </c>
      <c r="AM52" s="466">
        <f>RANK(J52,($G52,$I52,$J52,$L52,$N52,$O52,$P52,$Q52,$W52,$X52,$Y52,$Z52,$AC52))</f>
        <v>9</v>
      </c>
      <c r="AN52" s="457"/>
      <c r="AO52" s="466">
        <f>RANK(L52,($G52,$I52,$J52,$L52,$N52,$O52,$P52,$Q52,$W52,$X52,$Y52,$Z52,$AC52))</f>
        <v>3</v>
      </c>
      <c r="AP52" s="457"/>
      <c r="AQ52" s="466">
        <f>RANK(N52,($G52,$I52,$J52,$L52,$N52,$O52,$P52,$Q52,$W52,$X52,$Y52,$Z52,$AC52))</f>
        <v>6</v>
      </c>
      <c r="AR52" s="466">
        <f>RANK(O52,($G52,$I52,$J52,$L52,$N52,$O52,$P52,$Q52,$W52,$X52,$Y52,$Z52,$AC52))</f>
        <v>8</v>
      </c>
      <c r="AS52" s="466">
        <f>RANK(P52,($G52,$I52,$J52,$L52,$N52,$O52,$P52,$Q52,$W52,$X52,$Y52,$Z52,$AC52))</f>
        <v>4</v>
      </c>
      <c r="AT52" s="466">
        <f>RANK(Q52,($G52,$I52,$J52,$L52,$N52,$O52,$P52,$Q52,$W52,$X52,$Y52,$Z52,$AC52))</f>
        <v>10</v>
      </c>
      <c r="AU52" s="457"/>
      <c r="AV52" s="457"/>
      <c r="AW52" s="466">
        <f>RANK(Y52,($G52,$I52,$J52,$L52,$N52,$O52,$P52,$Q52,$W52,$X52,$Y52,$Z52,$AC52))</f>
        <v>11</v>
      </c>
      <c r="AX52" s="466">
        <f>RANK(Z52,($G52,$I52,$J52,$L52,$N52,$O52,$P52,$Q52,$W52,$X52,$Y52,$Z52,$AC52))</f>
        <v>7</v>
      </c>
      <c r="AY52" s="466">
        <f>RANK(AC52,($G52,$I52,$J52,$L52,$N52,$O52,$P52,$Q52,$W52,$X52,$Y52,$Z52,$AC52))</f>
        <v>1</v>
      </c>
      <c r="AZ52" s="460"/>
      <c r="BA52" s="461" t="str">
        <f t="shared" si="9"/>
        <v>PAN</v>
      </c>
      <c r="BB52" s="124" t="str">
        <f t="shared" si="10"/>
        <v>ninguno</v>
      </c>
      <c r="BC52" s="124" t="str">
        <f t="shared" si="11"/>
        <v>PAN</v>
      </c>
      <c r="BD52" s="119">
        <f t="shared" si="12"/>
        <v>2485</v>
      </c>
      <c r="BE52" s="119" t="str">
        <f t="shared" si="13"/>
        <v>ninguno</v>
      </c>
      <c r="BF52" s="119">
        <f t="shared" si="14"/>
        <v>2485</v>
      </c>
      <c r="BG52" s="467">
        <f t="shared" si="15"/>
        <v>0.2357237715803453</v>
      </c>
      <c r="BH52" s="468">
        <f t="shared" si="16"/>
        <v>337</v>
      </c>
      <c r="BI52" s="467">
        <f t="shared" si="16"/>
        <v>3.1967368620755054E-2</v>
      </c>
    </row>
    <row r="53" spans="1:61">
      <c r="A53" s="434">
        <v>46</v>
      </c>
      <c r="B53" s="435" t="s">
        <v>68</v>
      </c>
      <c r="C53" s="436">
        <v>59999</v>
      </c>
      <c r="D53" s="434">
        <v>107</v>
      </c>
      <c r="E53" s="434">
        <v>107</v>
      </c>
      <c r="F53" s="437">
        <f t="shared" si="0"/>
        <v>1</v>
      </c>
      <c r="G53" s="455">
        <v>7592</v>
      </c>
      <c r="H53" s="456">
        <v>11391</v>
      </c>
      <c r="I53" s="456">
        <v>1844</v>
      </c>
      <c r="J53" s="456">
        <v>315</v>
      </c>
      <c r="K53" s="456">
        <v>476</v>
      </c>
      <c r="L53" s="457"/>
      <c r="M53" s="456">
        <v>17241</v>
      </c>
      <c r="N53" s="456">
        <v>310</v>
      </c>
      <c r="O53" s="465"/>
      <c r="P53" s="465"/>
      <c r="Q53" s="456">
        <v>279</v>
      </c>
      <c r="R53" s="465"/>
      <c r="S53" s="465"/>
      <c r="T53" s="465"/>
      <c r="U53" s="465"/>
      <c r="V53" s="456">
        <v>34</v>
      </c>
      <c r="W53" s="457"/>
      <c r="X53" s="457"/>
      <c r="Y53" s="456">
        <v>14</v>
      </c>
      <c r="Z53" s="456">
        <v>1101</v>
      </c>
      <c r="AA53" s="458">
        <f t="shared" si="1"/>
        <v>40597</v>
      </c>
      <c r="AB53" s="459">
        <f t="shared" si="2"/>
        <v>0.67662794379906332</v>
      </c>
      <c r="AC53" s="470"/>
      <c r="AD53" s="458">
        <f>G53+J53+V53</f>
        <v>7941</v>
      </c>
      <c r="AE53" s="461" t="str">
        <f t="shared" si="4"/>
        <v>NA</v>
      </c>
      <c r="AF53" s="462" t="str">
        <f t="shared" si="5"/>
        <v>ninguno</v>
      </c>
      <c r="AG53" s="124" t="str">
        <f t="shared" si="6"/>
        <v>NA</v>
      </c>
      <c r="AH53" s="119">
        <f t="shared" si="7"/>
        <v>17241</v>
      </c>
      <c r="AI53" s="463">
        <f t="shared" si="8"/>
        <v>0.42468655319358573</v>
      </c>
      <c r="AJ53" s="470"/>
      <c r="AK53" s="466">
        <f>RANK(H53,($H53,$I53,$K53,$L53,$M53,$N53,$O53,$P53,$Q53,$W53,$X53,$Y53,$Z53,$AC53,$AD53))</f>
        <v>2</v>
      </c>
      <c r="AL53" s="466">
        <f>RANK(I53,($H53,$I53,$K53,$L53,$M53,$N53,$O53,$P53,$Q53,$W53,$X53,$Y53,$Z53,$AC53,$AD53))</f>
        <v>4</v>
      </c>
      <c r="AM53" s="465"/>
      <c r="AN53" s="466">
        <f>RANK(K53,($H53,$I53,$K53,$L53,$M53,$N53,$O53,$P53,$Q53,$W53,$X53,$Y53,$Z53,$AC53,$AD53))</f>
        <v>6</v>
      </c>
      <c r="AO53" s="457"/>
      <c r="AP53" s="466">
        <f>RANK(M53,($H53,$I53,$K53,$L53,$M53,$N53,$O53,$P53,$Q53,$W53,$X53,$Y53,$Z53,$AC53,$AD53))</f>
        <v>1</v>
      </c>
      <c r="AQ53" s="466">
        <f>RANK(N53,($H53,$I53,$K53,$L53,$M53,$N53,$O53,$P53,$Q53,$W53,$X53,$Y53,$Z53,$AC53,$AD53))</f>
        <v>7</v>
      </c>
      <c r="AR53" s="457"/>
      <c r="AS53" s="457"/>
      <c r="AT53" s="466">
        <f>RANK(Q53,($H53,$I53,$K53,$L53,$M53,$N53,$O53,$P53,$Q53,$W53,$X53,$Y53,$Z53,$AC53,$AD53))</f>
        <v>8</v>
      </c>
      <c r="AU53" s="457"/>
      <c r="AV53" s="457"/>
      <c r="AW53" s="466">
        <f>RANK(Y53,($H53,$I53,$K53,$L53,$M53,$N53,$O53,$P53,$Q53,$W53,$X53,$Y53,$Z53,$AC53,$AD53))</f>
        <v>9</v>
      </c>
      <c r="AX53" s="466">
        <f>RANK(Z53,($H53,$I53,$K53,$L53,$M53,$N53,$O53,$P53,$Q53,$W53,$X53,$Y53,$Z53,$AC53,$AD53))</f>
        <v>5</v>
      </c>
      <c r="AY53" s="465"/>
      <c r="AZ53" s="471">
        <f>RANK(AD53,($H53,$I53,$K53,$L53,$M53,$N53,$O53,$P53,$Q53,$W53,$X53,$Y53,$Z53,$AC53,$AD53))</f>
        <v>3</v>
      </c>
      <c r="BA53" s="461" t="str">
        <f t="shared" si="9"/>
        <v>PRI</v>
      </c>
      <c r="BB53" s="124" t="str">
        <f t="shared" si="10"/>
        <v>ninguno</v>
      </c>
      <c r="BC53" s="124" t="str">
        <f t="shared" si="11"/>
        <v>PRI</v>
      </c>
      <c r="BD53" s="119">
        <f t="shared" si="12"/>
        <v>11391</v>
      </c>
      <c r="BE53" s="119" t="str">
        <f t="shared" si="13"/>
        <v>ninguno</v>
      </c>
      <c r="BF53" s="119">
        <f t="shared" si="14"/>
        <v>11391</v>
      </c>
      <c r="BG53" s="467">
        <f t="shared" si="15"/>
        <v>0.28058723551001308</v>
      </c>
      <c r="BH53" s="468">
        <f t="shared" si="16"/>
        <v>5850</v>
      </c>
      <c r="BI53" s="467">
        <f t="shared" si="16"/>
        <v>0.14409931768357265</v>
      </c>
    </row>
    <row r="54" spans="1:61">
      <c r="A54" s="434">
        <v>47</v>
      </c>
      <c r="B54" s="435" t="s">
        <v>69</v>
      </c>
      <c r="C54" s="436">
        <v>13869</v>
      </c>
      <c r="D54" s="434">
        <v>23</v>
      </c>
      <c r="E54" s="434">
        <v>23</v>
      </c>
      <c r="F54" s="437">
        <f t="shared" si="0"/>
        <v>1</v>
      </c>
      <c r="G54" s="455">
        <v>4309</v>
      </c>
      <c r="H54" s="456">
        <v>2613</v>
      </c>
      <c r="I54" s="456">
        <v>1222</v>
      </c>
      <c r="J54" s="456">
        <v>174</v>
      </c>
      <c r="K54" s="456">
        <v>172</v>
      </c>
      <c r="L54" s="457"/>
      <c r="M54" s="456">
        <v>119</v>
      </c>
      <c r="N54" s="456">
        <v>337</v>
      </c>
      <c r="O54" s="465"/>
      <c r="P54" s="465"/>
      <c r="Q54" s="465"/>
      <c r="R54" s="456">
        <v>11</v>
      </c>
      <c r="S54" s="456">
        <v>61</v>
      </c>
      <c r="T54" s="456">
        <v>4</v>
      </c>
      <c r="U54" s="456">
        <v>0</v>
      </c>
      <c r="V54" s="465"/>
      <c r="W54" s="457"/>
      <c r="X54" s="457"/>
      <c r="Y54" s="456">
        <v>6</v>
      </c>
      <c r="Z54" s="456">
        <v>265</v>
      </c>
      <c r="AA54" s="458">
        <f t="shared" si="1"/>
        <v>9293</v>
      </c>
      <c r="AB54" s="459">
        <f t="shared" si="2"/>
        <v>0.67005551950392961</v>
      </c>
      <c r="AC54" s="455">
        <f t="shared" si="3"/>
        <v>2980</v>
      </c>
      <c r="AD54" s="460"/>
      <c r="AE54" s="461" t="str">
        <f t="shared" si="4"/>
        <v>PAN</v>
      </c>
      <c r="AF54" s="462" t="str">
        <f t="shared" si="5"/>
        <v>ninguno</v>
      </c>
      <c r="AG54" s="124" t="str">
        <f t="shared" si="6"/>
        <v>PAN</v>
      </c>
      <c r="AH54" s="119">
        <f t="shared" si="7"/>
        <v>4309</v>
      </c>
      <c r="AI54" s="463">
        <f t="shared" si="8"/>
        <v>0.46368234154740129</v>
      </c>
      <c r="AJ54" s="464">
        <f>RANK(G54,($G54,$I54,$J54,$L54,$N54,$O54,$P54,$Q54,$W54,$X54,$Y54,$Z54,$AC54))</f>
        <v>1</v>
      </c>
      <c r="AK54" s="465"/>
      <c r="AL54" s="466">
        <f>RANK(I54,($G54,$I54,$J54,$L54,$N54,$O54,$P54,$Q54,$W54,$X54,$Y54,$Z54,$AC54))</f>
        <v>3</v>
      </c>
      <c r="AM54" s="466">
        <f>RANK(J54,($G54,$I54,$J54,$L54,$N54,$O54,$P54,$Q54,$W54,$X54,$Y54,$Z54,$AC54))</f>
        <v>6</v>
      </c>
      <c r="AN54" s="457"/>
      <c r="AO54" s="457"/>
      <c r="AP54" s="457"/>
      <c r="AQ54" s="466">
        <f>RANK(N54,($G54,$I54,$J54,$L54,$N54,$O54,$P54,$Q54,$W54,$X54,$Y54,$Z54,$AC54))</f>
        <v>4</v>
      </c>
      <c r="AR54" s="457"/>
      <c r="AS54" s="457"/>
      <c r="AT54" s="457"/>
      <c r="AU54" s="457"/>
      <c r="AV54" s="457"/>
      <c r="AW54" s="466">
        <f>RANK(Y54,($G54,$I54,$J54,$L54,$N54,$O54,$P54,$Q54,$W54,$X54,$Y54,$Z54,$AC54))</f>
        <v>7</v>
      </c>
      <c r="AX54" s="466">
        <f>RANK(Z54,($G54,$I54,$J54,$L54,$N54,$O54,$P54,$Q54,$W54,$X54,$Y54,$Z54,$AC54))</f>
        <v>5</v>
      </c>
      <c r="AY54" s="466">
        <f>RANK(AC54,($G54,$I54,$J54,$L54,$N54,$O54,$P54,$Q54,$W54,$X54,$Y54,$Z54,$AC54))</f>
        <v>2</v>
      </c>
      <c r="AZ54" s="460"/>
      <c r="BA54" s="461" t="str">
        <f t="shared" si="9"/>
        <v>otro</v>
      </c>
      <c r="BB54" s="124" t="str">
        <f t="shared" si="10"/>
        <v>PRI-PVEM-NA</v>
      </c>
      <c r="BC54" s="124" t="str">
        <f t="shared" si="11"/>
        <v>PRI-PVEM-NA</v>
      </c>
      <c r="BD54" s="119" t="str">
        <f t="shared" si="12"/>
        <v>otro</v>
      </c>
      <c r="BE54" s="119">
        <f t="shared" si="13"/>
        <v>2980</v>
      </c>
      <c r="BF54" s="119">
        <f t="shared" si="14"/>
        <v>2980</v>
      </c>
      <c r="BG54" s="467">
        <f t="shared" si="15"/>
        <v>0.3206714731518347</v>
      </c>
      <c r="BH54" s="468">
        <f t="shared" si="16"/>
        <v>1329</v>
      </c>
      <c r="BI54" s="467">
        <f t="shared" si="16"/>
        <v>0.14301086839556659</v>
      </c>
    </row>
    <row r="55" spans="1:61">
      <c r="A55" s="434">
        <v>48</v>
      </c>
      <c r="B55" s="435" t="s">
        <v>70</v>
      </c>
      <c r="C55" s="436">
        <v>47820</v>
      </c>
      <c r="D55" s="434">
        <v>84</v>
      </c>
      <c r="E55" s="434">
        <v>84</v>
      </c>
      <c r="F55" s="437">
        <f t="shared" si="0"/>
        <v>1</v>
      </c>
      <c r="G55" s="455">
        <v>618</v>
      </c>
      <c r="H55" s="456">
        <v>10848</v>
      </c>
      <c r="I55" s="456">
        <v>1139</v>
      </c>
      <c r="J55" s="456">
        <v>6572</v>
      </c>
      <c r="K55" s="456">
        <v>692</v>
      </c>
      <c r="L55" s="456">
        <v>906</v>
      </c>
      <c r="M55" s="456">
        <v>1060</v>
      </c>
      <c r="N55" s="456">
        <v>3480</v>
      </c>
      <c r="O55" s="456">
        <v>519</v>
      </c>
      <c r="P55" s="456">
        <v>264</v>
      </c>
      <c r="Q55" s="456">
        <v>82</v>
      </c>
      <c r="R55" s="465"/>
      <c r="S55" s="465"/>
      <c r="T55" s="465"/>
      <c r="U55" s="465"/>
      <c r="V55" s="456">
        <v>59</v>
      </c>
      <c r="W55" s="457"/>
      <c r="X55" s="457"/>
      <c r="Y55" s="456">
        <v>5</v>
      </c>
      <c r="Z55" s="456">
        <v>1278</v>
      </c>
      <c r="AA55" s="458">
        <f t="shared" si="1"/>
        <v>27522</v>
      </c>
      <c r="AB55" s="459">
        <f t="shared" si="2"/>
        <v>0.57553324968632369</v>
      </c>
      <c r="AC55" s="470"/>
      <c r="AD55" s="458">
        <f>G55+J55+V55</f>
        <v>7249</v>
      </c>
      <c r="AE55" s="461" t="str">
        <f t="shared" si="4"/>
        <v>PRI</v>
      </c>
      <c r="AF55" s="462" t="str">
        <f t="shared" si="5"/>
        <v>ninguno</v>
      </c>
      <c r="AG55" s="124" t="str">
        <f t="shared" si="6"/>
        <v>PRI</v>
      </c>
      <c r="AH55" s="119">
        <f t="shared" si="7"/>
        <v>10848</v>
      </c>
      <c r="AI55" s="463">
        <f t="shared" si="8"/>
        <v>0.39415740135164595</v>
      </c>
      <c r="AJ55" s="470"/>
      <c r="AK55" s="466">
        <f>RANK(H55,($H55,$I55,$K55,$L55,$M55,$N55,$O55,$P55,$Q55,$W55,$X55,$Y55,$Z55,$AC55,$AD55))</f>
        <v>1</v>
      </c>
      <c r="AL55" s="466">
        <f>RANK(I55,($H55,$I55,$K55,$L55,$M55,$N55,$O55,$P55,$Q55,$W55,$X55,$Y55,$Z55,$AC55,$AD55))</f>
        <v>5</v>
      </c>
      <c r="AM55" s="465"/>
      <c r="AN55" s="466">
        <f>RANK(K55,($H55,$I55,$K55,$L55,$M55,$N55,$O55,$P55,$Q55,$W55,$X55,$Y55,$Z55,$AC55,$AD55))</f>
        <v>8</v>
      </c>
      <c r="AO55" s="466">
        <f>RANK(L55,($H55,$I55,$K55,$L55,$M55,$N55,$O55,$P55,$Q55,$W55,$X55,$Y55,$Z55,$AC55,$AD55))</f>
        <v>7</v>
      </c>
      <c r="AP55" s="466">
        <f>RANK(M55,($H55,$I55,$K55,$L55,$M55,$N55,$O55,$P55,$Q55,$W55,$X55,$Y55,$Z55,$AC55,$AD55))</f>
        <v>6</v>
      </c>
      <c r="AQ55" s="466">
        <f>RANK(N55,($H55,$I55,$K55,$L55,$M55,$N55,$O55,$P55,$Q55,$W55,$X55,$Y55,$Z55,$AC55,$AD55))</f>
        <v>3</v>
      </c>
      <c r="AR55" s="466">
        <f>RANK(O55,($H55,$I55,$K55,$L55,$M55,$N55,$O55,$P55,$Q55,$W55,$X55,$Y55,$Z55,$AC55,$AD55))</f>
        <v>9</v>
      </c>
      <c r="AS55" s="466">
        <f>RANK(P55,($H55,$I55,$K55,$L55,$M55,$N55,$O55,$P55,$Q55,$W55,$X55,$Y55,$Z55,$AC55,$AD55))</f>
        <v>10</v>
      </c>
      <c r="AT55" s="466">
        <f>RANK(Q55,($H55,$I55,$K55,$L55,$M55,$N55,$O55,$P55,$Q55,$W55,$X55,$Y55,$Z55,$AC55,$AD55))</f>
        <v>11</v>
      </c>
      <c r="AU55" s="457"/>
      <c r="AV55" s="457"/>
      <c r="AW55" s="466">
        <f>RANK(Y55,($H55,$I55,$K55,$L55,$M55,$N55,$O55,$P55,$Q55,$W55,$X55,$Y55,$Z55,$AC55,$AD55))</f>
        <v>12</v>
      </c>
      <c r="AX55" s="466">
        <f>RANK(Z55,($H55,$I55,$K55,$L55,$M55,$N55,$O55,$P55,$Q55,$W55,$X55,$Y55,$Z55,$AC55,$AD55))</f>
        <v>4</v>
      </c>
      <c r="AY55" s="465"/>
      <c r="AZ55" s="471">
        <f>RANK(AD55,($H55,$I55,$K55,$L55,$M55,$N55,$O55,$P55,$Q55,$W55,$X55,$Y55,$Z55,$AC55,$AD55))</f>
        <v>2</v>
      </c>
      <c r="BA55" s="461" t="str">
        <f t="shared" si="9"/>
        <v>otro</v>
      </c>
      <c r="BB55" s="124" t="str">
        <f t="shared" si="10"/>
        <v>PAN-PT</v>
      </c>
      <c r="BC55" s="124" t="str">
        <f t="shared" si="11"/>
        <v>PAN-PT</v>
      </c>
      <c r="BD55" s="119" t="str">
        <f t="shared" si="12"/>
        <v>otro</v>
      </c>
      <c r="BE55" s="119">
        <f t="shared" si="13"/>
        <v>7249</v>
      </c>
      <c r="BF55" s="119">
        <f t="shared" si="14"/>
        <v>7249</v>
      </c>
      <c r="BG55" s="467">
        <f t="shared" si="15"/>
        <v>0.26338928856914468</v>
      </c>
      <c r="BH55" s="468">
        <f t="shared" si="16"/>
        <v>3599</v>
      </c>
      <c r="BI55" s="467">
        <f t="shared" si="16"/>
        <v>0.13076811278250128</v>
      </c>
    </row>
    <row r="56" spans="1:61">
      <c r="A56" s="434">
        <v>49</v>
      </c>
      <c r="B56" s="435" t="s">
        <v>71</v>
      </c>
      <c r="C56" s="436">
        <v>44240</v>
      </c>
      <c r="D56" s="434">
        <v>81</v>
      </c>
      <c r="E56" s="434">
        <v>81</v>
      </c>
      <c r="F56" s="437">
        <f t="shared" si="0"/>
        <v>1</v>
      </c>
      <c r="G56" s="455">
        <v>7815</v>
      </c>
      <c r="H56" s="456">
        <v>12672</v>
      </c>
      <c r="I56" s="456">
        <v>663</v>
      </c>
      <c r="J56" s="456">
        <v>1181</v>
      </c>
      <c r="K56" s="456">
        <v>340</v>
      </c>
      <c r="L56" s="456">
        <v>500</v>
      </c>
      <c r="M56" s="456">
        <v>418</v>
      </c>
      <c r="N56" s="456">
        <v>1119</v>
      </c>
      <c r="O56" s="456">
        <v>325</v>
      </c>
      <c r="P56" s="456">
        <v>541</v>
      </c>
      <c r="Q56" s="456">
        <v>120</v>
      </c>
      <c r="R56" s="456">
        <v>257</v>
      </c>
      <c r="S56" s="456">
        <v>81</v>
      </c>
      <c r="T56" s="456">
        <v>3</v>
      </c>
      <c r="U56" s="456">
        <v>2</v>
      </c>
      <c r="V56" s="465"/>
      <c r="W56" s="457"/>
      <c r="X56" s="457"/>
      <c r="Y56" s="456">
        <v>18</v>
      </c>
      <c r="Z56" s="456">
        <v>944</v>
      </c>
      <c r="AA56" s="458">
        <f t="shared" si="1"/>
        <v>26999</v>
      </c>
      <c r="AB56" s="459">
        <f t="shared" si="2"/>
        <v>0.61028481012658231</v>
      </c>
      <c r="AC56" s="455">
        <f t="shared" si="3"/>
        <v>13773</v>
      </c>
      <c r="AD56" s="460"/>
      <c r="AE56" s="461" t="str">
        <f t="shared" si="4"/>
        <v>otro</v>
      </c>
      <c r="AF56" s="462" t="str">
        <f t="shared" si="5"/>
        <v>PRI-PVEM-NA</v>
      </c>
      <c r="AG56" s="124" t="str">
        <f t="shared" si="6"/>
        <v>PRI-PVEM-NA</v>
      </c>
      <c r="AH56" s="119">
        <f t="shared" si="7"/>
        <v>13773</v>
      </c>
      <c r="AI56" s="463">
        <f t="shared" si="8"/>
        <v>0.51013000481499315</v>
      </c>
      <c r="AJ56" s="464">
        <f>RANK(G56,($G56,$I56,$J56,$L56,$N56,$O56,$P56,$Q56,$W56,$X56,$Y56,$Z56,$AC56))</f>
        <v>2</v>
      </c>
      <c r="AK56" s="465"/>
      <c r="AL56" s="466">
        <f>RANK(I56,($G56,$I56,$J56,$L56,$N56,$O56,$P56,$Q56,$W56,$X56,$Y56,$Z56,$AC56))</f>
        <v>6</v>
      </c>
      <c r="AM56" s="466">
        <f>RANK(J56,($G56,$I56,$J56,$L56,$N56,$O56,$P56,$Q56,$W56,$X56,$Y56,$Z56,$AC56))</f>
        <v>3</v>
      </c>
      <c r="AN56" s="457"/>
      <c r="AO56" s="466">
        <f>RANK(L56,($G56,$I56,$J56,$L56,$N56,$O56,$P56,$Q56,$W56,$X56,$Y56,$Z56,$AC56))</f>
        <v>8</v>
      </c>
      <c r="AP56" s="457"/>
      <c r="AQ56" s="466">
        <f>RANK(N56,($G56,$I56,$J56,$L56,$N56,$O56,$P56,$Q56,$W56,$X56,$Y56,$Z56,$AC56))</f>
        <v>4</v>
      </c>
      <c r="AR56" s="466">
        <f>RANK(O56,($G56,$I56,$J56,$L56,$N56,$O56,$P56,$Q56,$W56,$X56,$Y56,$Z56,$AC56))</f>
        <v>9</v>
      </c>
      <c r="AS56" s="466">
        <f>RANK(P56,($G56,$I56,$J56,$L56,$N56,$O56,$P56,$Q56,$W56,$X56,$Y56,$Z56,$AC56))</f>
        <v>7</v>
      </c>
      <c r="AT56" s="466">
        <f>RANK(Q56,($G56,$I56,$J56,$L56,$N56,$O56,$P56,$Q56,$W56,$X56,$Y56,$Z56,$AC56))</f>
        <v>10</v>
      </c>
      <c r="AU56" s="457"/>
      <c r="AV56" s="457"/>
      <c r="AW56" s="466">
        <f>RANK(Y56,($G56,$I56,$J56,$L56,$N56,$O56,$P56,$Q56,$W56,$X56,$Y56,$Z56,$AC56))</f>
        <v>11</v>
      </c>
      <c r="AX56" s="466">
        <f>RANK(Z56,($G56,$I56,$J56,$L56,$N56,$O56,$P56,$Q56,$W56,$X56,$Y56,$Z56,$AC56))</f>
        <v>5</v>
      </c>
      <c r="AY56" s="466">
        <f>RANK(AC56,($G56,$I56,$J56,$L56,$N56,$O56,$P56,$Q56,$W56,$X56,$Y56,$Z56,$AC56))</f>
        <v>1</v>
      </c>
      <c r="AZ56" s="460"/>
      <c r="BA56" s="461" t="str">
        <f t="shared" si="9"/>
        <v>PAN</v>
      </c>
      <c r="BB56" s="124" t="str">
        <f t="shared" si="10"/>
        <v>ninguno</v>
      </c>
      <c r="BC56" s="124" t="str">
        <f t="shared" si="11"/>
        <v>PAN</v>
      </c>
      <c r="BD56" s="119">
        <f t="shared" si="12"/>
        <v>7815</v>
      </c>
      <c r="BE56" s="119" t="str">
        <f t="shared" si="13"/>
        <v>ninguno</v>
      </c>
      <c r="BF56" s="119">
        <f t="shared" si="14"/>
        <v>7815</v>
      </c>
      <c r="BG56" s="467">
        <f t="shared" si="15"/>
        <v>0.28945516500611135</v>
      </c>
      <c r="BH56" s="468">
        <f t="shared" si="16"/>
        <v>5958</v>
      </c>
      <c r="BI56" s="467">
        <f t="shared" si="16"/>
        <v>0.22067483980888181</v>
      </c>
    </row>
    <row r="57" spans="1:61">
      <c r="A57" s="434">
        <v>50</v>
      </c>
      <c r="B57" s="435" t="s">
        <v>72</v>
      </c>
      <c r="C57" s="436">
        <v>9245</v>
      </c>
      <c r="D57" s="434">
        <v>16</v>
      </c>
      <c r="E57" s="434">
        <v>16</v>
      </c>
      <c r="F57" s="437">
        <f t="shared" si="0"/>
        <v>1</v>
      </c>
      <c r="G57" s="455">
        <v>1344</v>
      </c>
      <c r="H57" s="456">
        <v>2584</v>
      </c>
      <c r="I57" s="456">
        <v>395</v>
      </c>
      <c r="J57" s="456">
        <v>50</v>
      </c>
      <c r="K57" s="456">
        <v>33</v>
      </c>
      <c r="L57" s="457"/>
      <c r="M57" s="456">
        <v>123</v>
      </c>
      <c r="N57" s="456">
        <v>1861</v>
      </c>
      <c r="O57" s="465"/>
      <c r="P57" s="456">
        <v>298</v>
      </c>
      <c r="Q57" s="465"/>
      <c r="R57" s="456">
        <v>12</v>
      </c>
      <c r="S57" s="456">
        <v>8</v>
      </c>
      <c r="T57" s="456">
        <v>20</v>
      </c>
      <c r="U57" s="456">
        <v>3</v>
      </c>
      <c r="V57" s="456">
        <v>14</v>
      </c>
      <c r="W57" s="457"/>
      <c r="X57" s="457"/>
      <c r="Y57" s="456">
        <v>0</v>
      </c>
      <c r="Z57" s="456">
        <v>156</v>
      </c>
      <c r="AA57" s="458">
        <f t="shared" si="1"/>
        <v>6901</v>
      </c>
      <c r="AB57" s="459">
        <f t="shared" si="2"/>
        <v>0.74645754461871283</v>
      </c>
      <c r="AC57" s="455">
        <f t="shared" si="3"/>
        <v>2783</v>
      </c>
      <c r="AD57" s="458">
        <f>G57+J57+V57</f>
        <v>1408</v>
      </c>
      <c r="AE57" s="461" t="str">
        <f t="shared" si="4"/>
        <v>otro</v>
      </c>
      <c r="AF57" s="462" t="str">
        <f t="shared" si="5"/>
        <v>PRI-PVEM-NA</v>
      </c>
      <c r="AG57" s="124" t="str">
        <f t="shared" si="6"/>
        <v>PRI-PVEM-NA</v>
      </c>
      <c r="AH57" s="119">
        <f t="shared" si="7"/>
        <v>2783</v>
      </c>
      <c r="AI57" s="463">
        <f t="shared" si="8"/>
        <v>0.40327488769743514</v>
      </c>
      <c r="AJ57" s="470"/>
      <c r="AK57" s="465"/>
      <c r="AL57" s="466">
        <f>RANK(I57,($I57,$L57,$N57,$O57,$P57,$Q57,$W57,$X57,$Y57,$Z57,$AC57,$AD57))</f>
        <v>4</v>
      </c>
      <c r="AM57" s="465"/>
      <c r="AN57" s="457"/>
      <c r="AO57" s="457"/>
      <c r="AP57" s="457"/>
      <c r="AQ57" s="466">
        <f>RANK(N57,($I57,$L57,$N57,$O57,$P57,$Q57,$W57,$X57,$Y57,$Z57,$AC57,$AD57))</f>
        <v>2</v>
      </c>
      <c r="AR57" s="457"/>
      <c r="AS57" s="466">
        <f>RANK(P57,($I57,$L57,$N57,$O57,$P57,$Q57,$W57,$X57,$Y57,$Z57,$AC57,$AD57))</f>
        <v>5</v>
      </c>
      <c r="AT57" s="457"/>
      <c r="AU57" s="457"/>
      <c r="AV57" s="457"/>
      <c r="AW57" s="466">
        <f>RANK(Y57,($I57,$L57,$N57,$O57,$P57,$Q57,$W57,$X57,$Y57,$Z57,$AC57,$AD57))</f>
        <v>7</v>
      </c>
      <c r="AX57" s="466">
        <f>RANK(Z57,($I57,$L57,$N57,$O57,$P57,$Q57,$W57,$X57,$Y57,$Z57,$AC57,$AD57))</f>
        <v>6</v>
      </c>
      <c r="AY57" s="466">
        <f>RANK(AC57,($I57,$L57,$N57,$O57,$P57,$Q57,$W57,$X57,$Y57,$Z57,$AC57,$AD57))</f>
        <v>1</v>
      </c>
      <c r="AZ57" s="471">
        <f>RANK(AD57,($I57,$L57,$N57,$O57,$P57,$Q57,$W57,$X57,$Y57,$Z57,$AC57,$AD57))</f>
        <v>3</v>
      </c>
      <c r="BA57" s="461" t="str">
        <f t="shared" si="9"/>
        <v>MORENA</v>
      </c>
      <c r="BB57" s="124" t="str">
        <f t="shared" si="10"/>
        <v>ninguno</v>
      </c>
      <c r="BC57" s="124" t="str">
        <f t="shared" si="11"/>
        <v>MORENA</v>
      </c>
      <c r="BD57" s="119">
        <f t="shared" si="12"/>
        <v>1861</v>
      </c>
      <c r="BE57" s="119" t="str">
        <f t="shared" si="13"/>
        <v>ninguno</v>
      </c>
      <c r="BF57" s="119">
        <f t="shared" si="14"/>
        <v>1861</v>
      </c>
      <c r="BG57" s="467">
        <f t="shared" si="15"/>
        <v>0.26967106216490366</v>
      </c>
      <c r="BH57" s="468">
        <f t="shared" si="16"/>
        <v>922</v>
      </c>
      <c r="BI57" s="467">
        <f t="shared" si="16"/>
        <v>0.13360382553253147</v>
      </c>
    </row>
    <row r="58" spans="1:61">
      <c r="A58" s="434">
        <v>51</v>
      </c>
      <c r="B58" s="435" t="s">
        <v>73</v>
      </c>
      <c r="C58" s="436">
        <v>15937</v>
      </c>
      <c r="D58" s="434">
        <v>25</v>
      </c>
      <c r="E58" s="434">
        <v>25</v>
      </c>
      <c r="F58" s="437">
        <f t="shared" si="0"/>
        <v>1</v>
      </c>
      <c r="G58" s="455">
        <v>557</v>
      </c>
      <c r="H58" s="456">
        <v>3798</v>
      </c>
      <c r="I58" s="456">
        <v>1775</v>
      </c>
      <c r="J58" s="457">
        <v>0</v>
      </c>
      <c r="K58" s="456">
        <v>122</v>
      </c>
      <c r="L58" s="456">
        <v>2571</v>
      </c>
      <c r="M58" s="456">
        <v>104</v>
      </c>
      <c r="N58" s="456">
        <v>577</v>
      </c>
      <c r="O58" s="456">
        <v>118</v>
      </c>
      <c r="P58" s="465"/>
      <c r="Q58" s="456">
        <v>31</v>
      </c>
      <c r="R58" s="456">
        <v>10</v>
      </c>
      <c r="S58" s="456">
        <v>61</v>
      </c>
      <c r="T58" s="456">
        <v>11</v>
      </c>
      <c r="U58" s="456">
        <v>1</v>
      </c>
      <c r="V58" s="465"/>
      <c r="W58" s="457"/>
      <c r="X58" s="457"/>
      <c r="Y58" s="456">
        <v>4</v>
      </c>
      <c r="Z58" s="456">
        <v>272</v>
      </c>
      <c r="AA58" s="458">
        <f t="shared" si="1"/>
        <v>10012</v>
      </c>
      <c r="AB58" s="459">
        <f t="shared" si="2"/>
        <v>0.62822363054527197</v>
      </c>
      <c r="AC58" s="455">
        <f t="shared" si="3"/>
        <v>4107</v>
      </c>
      <c r="AD58" s="460"/>
      <c r="AE58" s="461" t="str">
        <f t="shared" si="4"/>
        <v>otro</v>
      </c>
      <c r="AF58" s="462" t="str">
        <f t="shared" si="5"/>
        <v>PRI-PVEM-NA</v>
      </c>
      <c r="AG58" s="124" t="str">
        <f t="shared" si="6"/>
        <v>PRI-PVEM-NA</v>
      </c>
      <c r="AH58" s="119">
        <f t="shared" si="7"/>
        <v>4107</v>
      </c>
      <c r="AI58" s="463">
        <f t="shared" si="8"/>
        <v>0.41020775069916099</v>
      </c>
      <c r="AJ58" s="464">
        <f>RANK(G58,($G58,$I58,$J58,$L58,$N58,$O58,$P58,$Q58,$W58,$X58,$Y58,$Z58,$AC58))</f>
        <v>5</v>
      </c>
      <c r="AK58" s="465"/>
      <c r="AL58" s="466">
        <f>RANK(I58,($G58,$I58,$J58,$L58,$N58,$O58,$P58,$Q58,$W58,$X58,$Y58,$Z58,$AC58))</f>
        <v>3</v>
      </c>
      <c r="AM58" s="465"/>
      <c r="AN58" s="457"/>
      <c r="AO58" s="466">
        <f>RANK(L58,($G58,$I58,$J58,$L58,$N58,$O58,$P58,$Q58,$W58,$X58,$Y58,$Z58,$AC58))</f>
        <v>2</v>
      </c>
      <c r="AP58" s="457"/>
      <c r="AQ58" s="466">
        <f>RANK(N58,($G58,$I58,$J58,$L58,$N58,$O58,$P58,$Q58,$W58,$X58,$Y58,$Z58,$AC58))</f>
        <v>4</v>
      </c>
      <c r="AR58" s="466">
        <f>RANK(O58,($G58,$I58,$J58,$L58,$N58,$O58,$P58,$Q58,$W58,$X58,$Y58,$Z58,$AC58))</f>
        <v>7</v>
      </c>
      <c r="AS58" s="457"/>
      <c r="AT58" s="466">
        <f>RANK(Q58,($G58,$I58,$J58,$L58,$N58,$O58,$P58,$Q58,$W58,$X58,$Y58,$Z58,$AC58))</f>
        <v>8</v>
      </c>
      <c r="AU58" s="457"/>
      <c r="AV58" s="457"/>
      <c r="AW58" s="466">
        <f>RANK(Y58,($G58,$I58,$J58,$L58,$N58,$O58,$P58,$Q58,$W58,$X58,$Y58,$Z58,$AC58))</f>
        <v>9</v>
      </c>
      <c r="AX58" s="466">
        <f>RANK(Z58,($G58,$I58,$J58,$L58,$N58,$O58,$P58,$Q58,$W58,$X58,$Y58,$Z58,$AC58))</f>
        <v>6</v>
      </c>
      <c r="AY58" s="466">
        <f>RANK(AC58,($G58,$I58,$J58,$L58,$N58,$O58,$P58,$Q58,$W58,$X58,$Y58,$Z58,$AC58))</f>
        <v>1</v>
      </c>
      <c r="AZ58" s="460"/>
      <c r="BA58" s="461" t="str">
        <f t="shared" si="9"/>
        <v>MC</v>
      </c>
      <c r="BB58" s="124" t="str">
        <f t="shared" si="10"/>
        <v>ninguno</v>
      </c>
      <c r="BC58" s="124" t="str">
        <f t="shared" si="11"/>
        <v>MC</v>
      </c>
      <c r="BD58" s="119">
        <f t="shared" si="12"/>
        <v>2571</v>
      </c>
      <c r="BE58" s="119" t="str">
        <f t="shared" si="13"/>
        <v>ninguno</v>
      </c>
      <c r="BF58" s="119">
        <f t="shared" si="14"/>
        <v>2571</v>
      </c>
      <c r="BG58" s="467">
        <f t="shared" si="15"/>
        <v>0.2567918497802637</v>
      </c>
      <c r="BH58" s="468">
        <f t="shared" si="16"/>
        <v>1536</v>
      </c>
      <c r="BI58" s="467">
        <f t="shared" si="16"/>
        <v>0.15341590091889729</v>
      </c>
    </row>
    <row r="59" spans="1:61">
      <c r="A59" s="434">
        <v>52</v>
      </c>
      <c r="B59" s="435" t="s">
        <v>74</v>
      </c>
      <c r="C59" s="436">
        <v>87865</v>
      </c>
      <c r="D59" s="434">
        <v>141</v>
      </c>
      <c r="E59" s="434">
        <v>141</v>
      </c>
      <c r="F59" s="437">
        <f t="shared" si="0"/>
        <v>1</v>
      </c>
      <c r="G59" s="455">
        <v>18635</v>
      </c>
      <c r="H59" s="456">
        <v>20011</v>
      </c>
      <c r="I59" s="456">
        <v>3383</v>
      </c>
      <c r="J59" s="456">
        <v>1454</v>
      </c>
      <c r="K59" s="456">
        <v>653</v>
      </c>
      <c r="L59" s="456">
        <v>611</v>
      </c>
      <c r="M59" s="456">
        <v>813</v>
      </c>
      <c r="N59" s="456">
        <v>2593</v>
      </c>
      <c r="O59" s="456">
        <v>746</v>
      </c>
      <c r="P59" s="456">
        <v>1090</v>
      </c>
      <c r="Q59" s="456">
        <v>412</v>
      </c>
      <c r="R59" s="456">
        <v>44</v>
      </c>
      <c r="S59" s="456">
        <v>163</v>
      </c>
      <c r="T59" s="456">
        <v>21</v>
      </c>
      <c r="U59" s="456">
        <v>3</v>
      </c>
      <c r="V59" s="465"/>
      <c r="W59" s="457"/>
      <c r="X59" s="457"/>
      <c r="Y59" s="456">
        <v>30</v>
      </c>
      <c r="Z59" s="456">
        <v>1490</v>
      </c>
      <c r="AA59" s="458">
        <f t="shared" si="1"/>
        <v>52152</v>
      </c>
      <c r="AB59" s="459">
        <f t="shared" si="2"/>
        <v>0.59354691856825814</v>
      </c>
      <c r="AC59" s="455">
        <f t="shared" si="3"/>
        <v>21708</v>
      </c>
      <c r="AD59" s="460"/>
      <c r="AE59" s="461" t="str">
        <f t="shared" si="4"/>
        <v>otro</v>
      </c>
      <c r="AF59" s="462" t="str">
        <f t="shared" si="5"/>
        <v>PRI-PVEM-NA</v>
      </c>
      <c r="AG59" s="124" t="str">
        <f t="shared" si="6"/>
        <v>PRI-PVEM-NA</v>
      </c>
      <c r="AH59" s="119">
        <f t="shared" si="7"/>
        <v>21708</v>
      </c>
      <c r="AI59" s="463">
        <f t="shared" si="8"/>
        <v>0.41624482282558672</v>
      </c>
      <c r="AJ59" s="464">
        <f>RANK(G59,($G59,$I59,$J59,$L59,$N59,$O59,$P59,$Q59,$W59,$X59,$Y59,$Z59,$AC59))</f>
        <v>2</v>
      </c>
      <c r="AK59" s="465"/>
      <c r="AL59" s="466">
        <f>RANK(I59,($G59,$I59,$J59,$L59,$N59,$O59,$P59,$Q59,$W59,$X59,$Y59,$Z59,$AC59))</f>
        <v>3</v>
      </c>
      <c r="AM59" s="466">
        <f>RANK(J59,($G59,$I59,$J59,$L59,$N59,$O59,$P59,$Q59,$W59,$X59,$Y59,$Z59,$AC59))</f>
        <v>6</v>
      </c>
      <c r="AN59" s="457"/>
      <c r="AO59" s="466">
        <f>RANK(L59,($G59,$I59,$J59,$L59,$N59,$O59,$P59,$Q59,$W59,$X59,$Y59,$Z59,$AC59))</f>
        <v>9</v>
      </c>
      <c r="AP59" s="457"/>
      <c r="AQ59" s="466">
        <f>RANK(N59,($G59,$I59,$J59,$L59,$N59,$O59,$P59,$Q59,$W59,$X59,$Y59,$Z59,$AC59))</f>
        <v>4</v>
      </c>
      <c r="AR59" s="466">
        <f>RANK(O59,($G59,$I59,$J59,$L59,$N59,$O59,$P59,$Q59,$W59,$X59,$Y59,$Z59,$AC59))</f>
        <v>8</v>
      </c>
      <c r="AS59" s="466">
        <f>RANK(P59,($G59,$I59,$J59,$L59,$N59,$O59,$P59,$Q59,$W59,$X59,$Y59,$Z59,$AC59))</f>
        <v>7</v>
      </c>
      <c r="AT59" s="466">
        <f>RANK(Q59,($G59,$I59,$J59,$L59,$N59,$O59,$P59,$Q59,$W59,$X59,$Y59,$Z59,$AC59))</f>
        <v>10</v>
      </c>
      <c r="AU59" s="457"/>
      <c r="AV59" s="457"/>
      <c r="AW59" s="466">
        <f>RANK(Y59,($G59,$I59,$J59,$L59,$N59,$O59,$P59,$Q59,$W59,$X59,$Y59,$Z59,$AC59))</f>
        <v>11</v>
      </c>
      <c r="AX59" s="466">
        <f>RANK(Z59,($G59,$I59,$J59,$L59,$N59,$O59,$P59,$Q59,$W59,$X59,$Y59,$Z59,$AC59))</f>
        <v>5</v>
      </c>
      <c r="AY59" s="466">
        <f>RANK(AC59,($G59,$I59,$J59,$L59,$N59,$O59,$P59,$Q59,$W59,$X59,$Y59,$Z59,$AC59))</f>
        <v>1</v>
      </c>
      <c r="AZ59" s="460"/>
      <c r="BA59" s="461" t="str">
        <f t="shared" si="9"/>
        <v>PAN</v>
      </c>
      <c r="BB59" s="124" t="str">
        <f t="shared" si="10"/>
        <v>ninguno</v>
      </c>
      <c r="BC59" s="124" t="str">
        <f t="shared" si="11"/>
        <v>PAN</v>
      </c>
      <c r="BD59" s="119">
        <f t="shared" si="12"/>
        <v>18635</v>
      </c>
      <c r="BE59" s="119" t="str">
        <f t="shared" si="13"/>
        <v>ninguno</v>
      </c>
      <c r="BF59" s="119">
        <f t="shared" si="14"/>
        <v>18635</v>
      </c>
      <c r="BG59" s="467">
        <f t="shared" si="15"/>
        <v>0.35732090811474154</v>
      </c>
      <c r="BH59" s="468">
        <f t="shared" si="16"/>
        <v>3073</v>
      </c>
      <c r="BI59" s="467">
        <f t="shared" si="16"/>
        <v>5.8923914710845182E-2</v>
      </c>
    </row>
    <row r="60" spans="1:61">
      <c r="A60" s="434">
        <v>53</v>
      </c>
      <c r="B60" s="435" t="s">
        <v>75</v>
      </c>
      <c r="C60" s="436">
        <v>17872</v>
      </c>
      <c r="D60" s="434">
        <v>34</v>
      </c>
      <c r="E60" s="434">
        <v>34</v>
      </c>
      <c r="F60" s="437">
        <f t="shared" si="0"/>
        <v>1</v>
      </c>
      <c r="G60" s="455">
        <v>3022</v>
      </c>
      <c r="H60" s="456">
        <v>4776</v>
      </c>
      <c r="I60" s="456">
        <v>3754</v>
      </c>
      <c r="J60" s="456">
        <v>97</v>
      </c>
      <c r="K60" s="456">
        <v>60</v>
      </c>
      <c r="L60" s="457"/>
      <c r="M60" s="456">
        <v>375</v>
      </c>
      <c r="N60" s="456">
        <v>195</v>
      </c>
      <c r="O60" s="456">
        <v>242</v>
      </c>
      <c r="P60" s="456">
        <v>53</v>
      </c>
      <c r="Q60" s="456">
        <v>15</v>
      </c>
      <c r="R60" s="465"/>
      <c r="S60" s="465"/>
      <c r="T60" s="465"/>
      <c r="U60" s="465"/>
      <c r="V60" s="456">
        <v>20</v>
      </c>
      <c r="W60" s="457"/>
      <c r="X60" s="457"/>
      <c r="Y60" s="456">
        <v>8</v>
      </c>
      <c r="Z60" s="456">
        <v>399</v>
      </c>
      <c r="AA60" s="458">
        <f t="shared" si="1"/>
        <v>13016</v>
      </c>
      <c r="AB60" s="459">
        <f t="shared" si="2"/>
        <v>0.72829006266786034</v>
      </c>
      <c r="AC60" s="470"/>
      <c r="AD60" s="458">
        <f>G60+J60+V60</f>
        <v>3139</v>
      </c>
      <c r="AE60" s="461" t="str">
        <f t="shared" si="4"/>
        <v>PRI</v>
      </c>
      <c r="AF60" s="462" t="str">
        <f t="shared" si="5"/>
        <v>ninguno</v>
      </c>
      <c r="AG60" s="124" t="str">
        <f t="shared" si="6"/>
        <v>PRI</v>
      </c>
      <c r="AH60" s="119">
        <f t="shared" si="7"/>
        <v>4776</v>
      </c>
      <c r="AI60" s="463">
        <f t="shared" si="8"/>
        <v>0.36693300553165337</v>
      </c>
      <c r="AJ60" s="470"/>
      <c r="AK60" s="466">
        <f>RANK(H60,($H60,$I60,$K60,$L60,$M60,$N60,$O60,$P60,$Q60,$W60,$X60,$Y60,$Z60,$AC60,$AD60))</f>
        <v>1</v>
      </c>
      <c r="AL60" s="466">
        <f>RANK(I60,($H60,$I60,$K60,$L60,$M60,$N60,$O60,$P60,$Q60,$W60,$X60,$Y60,$Z60,$AC60,$AD60))</f>
        <v>2</v>
      </c>
      <c r="AM60" s="465"/>
      <c r="AN60" s="466">
        <f>RANK(K60,($H60,$I60,$K60,$L60,$M60,$N60,$O60,$P60,$Q60,$W60,$X60,$Y60,$Z60,$AC60,$AD60))</f>
        <v>8</v>
      </c>
      <c r="AO60" s="457"/>
      <c r="AP60" s="466">
        <f>RANK(M60,($H60,$I60,$K60,$L60,$M60,$N60,$O60,$P60,$Q60,$W60,$X60,$Y60,$Z60,$AC60,$AD60))</f>
        <v>5</v>
      </c>
      <c r="AQ60" s="466">
        <f>RANK(N60,($H60,$I60,$K60,$L60,$M60,$N60,$O60,$P60,$Q60,$W60,$X60,$Y60,$Z60,$AC60,$AD60))</f>
        <v>7</v>
      </c>
      <c r="AR60" s="466">
        <f>RANK(O60,($H60,$I60,$K60,$L60,$M60,$N60,$O60,$P60,$Q60,$W60,$X60,$Y60,$Z60,$AC60,$AD60))</f>
        <v>6</v>
      </c>
      <c r="AS60" s="466">
        <f>RANK(P60,($H60,$I60,$K60,$L60,$M60,$N60,$O60,$P60,$Q60,$W60,$X60,$Y60,$Z60,$AC60,$AD60))</f>
        <v>9</v>
      </c>
      <c r="AT60" s="466">
        <f>RANK(Q60,($H60,$I60,$K60,$L60,$M60,$N60,$O60,$P60,$Q60,$W60,$X60,$Y60,$Z60,$AC60,$AD60))</f>
        <v>10</v>
      </c>
      <c r="AU60" s="457"/>
      <c r="AV60" s="457"/>
      <c r="AW60" s="466">
        <f>RANK(Y60,($H60,$I60,$K60,$L60,$M60,$N60,$O60,$P60,$Q60,$W60,$X60,$Y60,$Z60,$AC60,$AD60))</f>
        <v>11</v>
      </c>
      <c r="AX60" s="466">
        <f>RANK(Z60,($H60,$I60,$K60,$L60,$M60,$N60,$O60,$P60,$Q60,$W60,$X60,$Y60,$Z60,$AC60,$AD60))</f>
        <v>4</v>
      </c>
      <c r="AY60" s="465"/>
      <c r="AZ60" s="471">
        <f>RANK(AD60,($H60,$I60,$K60,$L60,$M60,$N60,$O60,$P60,$Q60,$W60,$X60,$Y60,$Z60,$AC60,$AD60))</f>
        <v>3</v>
      </c>
      <c r="BA60" s="461" t="str">
        <f t="shared" si="9"/>
        <v>PRD</v>
      </c>
      <c r="BB60" s="124" t="str">
        <f t="shared" si="10"/>
        <v>ninguno</v>
      </c>
      <c r="BC60" s="124" t="str">
        <f t="shared" si="11"/>
        <v>PRD</v>
      </c>
      <c r="BD60" s="119">
        <f t="shared" si="12"/>
        <v>3754</v>
      </c>
      <c r="BE60" s="119" t="str">
        <f t="shared" si="13"/>
        <v>ninguno</v>
      </c>
      <c r="BF60" s="119">
        <f t="shared" si="14"/>
        <v>3754</v>
      </c>
      <c r="BG60" s="467">
        <f t="shared" si="15"/>
        <v>0.2884142593730793</v>
      </c>
      <c r="BH60" s="468">
        <f t="shared" si="16"/>
        <v>1022</v>
      </c>
      <c r="BI60" s="467">
        <f t="shared" si="16"/>
        <v>7.8518746158574071E-2</v>
      </c>
    </row>
    <row r="61" spans="1:61">
      <c r="A61" s="434">
        <v>54</v>
      </c>
      <c r="B61" s="435" t="s">
        <v>76</v>
      </c>
      <c r="C61" s="436">
        <v>43386</v>
      </c>
      <c r="D61" s="434">
        <v>65</v>
      </c>
      <c r="E61" s="434">
        <v>65</v>
      </c>
      <c r="F61" s="437">
        <f t="shared" si="0"/>
        <v>1</v>
      </c>
      <c r="G61" s="455">
        <v>6188</v>
      </c>
      <c r="H61" s="456">
        <v>5303</v>
      </c>
      <c r="I61" s="456">
        <v>4941</v>
      </c>
      <c r="J61" s="456">
        <v>169</v>
      </c>
      <c r="K61" s="456">
        <v>177</v>
      </c>
      <c r="L61" s="456">
        <v>2751</v>
      </c>
      <c r="M61" s="456">
        <v>537</v>
      </c>
      <c r="N61" s="456">
        <v>983</v>
      </c>
      <c r="O61" s="456">
        <v>1813</v>
      </c>
      <c r="P61" s="465"/>
      <c r="Q61" s="465"/>
      <c r="R61" s="465"/>
      <c r="S61" s="465"/>
      <c r="T61" s="465"/>
      <c r="U61" s="465"/>
      <c r="V61" s="456">
        <v>30</v>
      </c>
      <c r="W61" s="457"/>
      <c r="X61" s="457"/>
      <c r="Y61" s="456">
        <v>15</v>
      </c>
      <c r="Z61" s="456">
        <v>603</v>
      </c>
      <c r="AA61" s="458">
        <f t="shared" si="1"/>
        <v>23510</v>
      </c>
      <c r="AB61" s="459">
        <f t="shared" si="2"/>
        <v>0.54187986908219243</v>
      </c>
      <c r="AC61" s="470"/>
      <c r="AD61" s="458">
        <f>G61+J61+V61</f>
        <v>6387</v>
      </c>
      <c r="AE61" s="461" t="str">
        <f t="shared" si="4"/>
        <v>otro</v>
      </c>
      <c r="AF61" s="462" t="str">
        <f t="shared" si="5"/>
        <v>PAN-PT</v>
      </c>
      <c r="AG61" s="124" t="str">
        <f t="shared" si="6"/>
        <v>PAN-PT</v>
      </c>
      <c r="AH61" s="119">
        <f t="shared" si="7"/>
        <v>6387</v>
      </c>
      <c r="AI61" s="463">
        <f t="shared" si="8"/>
        <v>0.27167162909400255</v>
      </c>
      <c r="AJ61" s="470"/>
      <c r="AK61" s="466">
        <f>RANK(H61,($H61,$I61,$K61,$L61,$M61,$N61,$O61,$P61,$Q61,$W61,$X61,$Y61,$Z61,$AC61,$AD61))</f>
        <v>2</v>
      </c>
      <c r="AL61" s="466">
        <f>RANK(I61,($H61,$I61,$K61,$L61,$M61,$N61,$O61,$P61,$Q61,$W61,$X61,$Y61,$Z61,$AC61,$AD61))</f>
        <v>3</v>
      </c>
      <c r="AM61" s="465"/>
      <c r="AN61" s="466">
        <f>RANK(K61,($H61,$I61,$K61,$L61,$M61,$N61,$O61,$P61,$Q61,$W61,$X61,$Y61,$Z61,$AC61,$AD61))</f>
        <v>9</v>
      </c>
      <c r="AO61" s="466">
        <f>RANK(L61,($H61,$I61,$K61,$L61,$M61,$N61,$O61,$P61,$Q61,$W61,$X61,$Y61,$Z61,$AC61,$AD61))</f>
        <v>4</v>
      </c>
      <c r="AP61" s="466">
        <f>RANK(M61,($H61,$I61,$K61,$L61,$M61,$N61,$O61,$P61,$Q61,$W61,$X61,$Y61,$Z61,$AC61,$AD61))</f>
        <v>8</v>
      </c>
      <c r="AQ61" s="466">
        <f>RANK(N61,($H61,$I61,$K61,$L61,$M61,$N61,$O61,$P61,$Q61,$W61,$X61,$Y61,$Z61,$AC61,$AD61))</f>
        <v>6</v>
      </c>
      <c r="AR61" s="466">
        <f>RANK(O61,($H61,$I61,$K61,$L61,$M61,$N61,$O61,$P61,$Q61,$W61,$X61,$Y61,$Z61,$AC61,$AD61))</f>
        <v>5</v>
      </c>
      <c r="AS61" s="457"/>
      <c r="AT61" s="457"/>
      <c r="AU61" s="457"/>
      <c r="AV61" s="457"/>
      <c r="AW61" s="466">
        <f>RANK(Y61,($H61,$I61,$K61,$L61,$M61,$N61,$O61,$P61,$Q61,$W61,$X61,$Y61,$Z61,$AC61,$AD61))</f>
        <v>10</v>
      </c>
      <c r="AX61" s="466">
        <f>RANK(Z61,($H61,$I61,$K61,$L61,$M61,$N61,$O61,$P61,$Q61,$W61,$X61,$Y61,$Z61,$AC61,$AD61))</f>
        <v>7</v>
      </c>
      <c r="AY61" s="465"/>
      <c r="AZ61" s="471">
        <f>RANK(AD61,($H61,$I61,$K61,$L61,$M61,$N61,$O61,$P61,$Q61,$W61,$X61,$Y61,$Z61,$AC61,$AD61))</f>
        <v>1</v>
      </c>
      <c r="BA61" s="461" t="str">
        <f t="shared" si="9"/>
        <v>PRI</v>
      </c>
      <c r="BB61" s="124" t="str">
        <f t="shared" si="10"/>
        <v>ninguno</v>
      </c>
      <c r="BC61" s="124" t="str">
        <f t="shared" si="11"/>
        <v>PRI</v>
      </c>
      <c r="BD61" s="119">
        <f t="shared" si="12"/>
        <v>5303</v>
      </c>
      <c r="BE61" s="119" t="str">
        <f t="shared" si="13"/>
        <v>ninguno</v>
      </c>
      <c r="BF61" s="119">
        <f t="shared" si="14"/>
        <v>5303</v>
      </c>
      <c r="BG61" s="467">
        <f t="shared" si="15"/>
        <v>0.22556358996171841</v>
      </c>
      <c r="BH61" s="468">
        <f t="shared" si="16"/>
        <v>1084</v>
      </c>
      <c r="BI61" s="467">
        <f t="shared" si="16"/>
        <v>4.6108039132284145E-2</v>
      </c>
    </row>
    <row r="62" spans="1:61">
      <c r="A62" s="434">
        <v>55</v>
      </c>
      <c r="B62" s="435" t="s">
        <v>545</v>
      </c>
      <c r="C62" s="436">
        <v>168287</v>
      </c>
      <c r="D62" s="434">
        <v>271</v>
      </c>
      <c r="E62" s="434">
        <v>271</v>
      </c>
      <c r="F62" s="437">
        <f t="shared" si="0"/>
        <v>1</v>
      </c>
      <c r="G62" s="455">
        <v>25679</v>
      </c>
      <c r="H62" s="456">
        <v>34290</v>
      </c>
      <c r="I62" s="456">
        <v>3114</v>
      </c>
      <c r="J62" s="456">
        <v>8282</v>
      </c>
      <c r="K62" s="456">
        <v>1996</v>
      </c>
      <c r="L62" s="456">
        <v>2842</v>
      </c>
      <c r="M62" s="456">
        <v>2651</v>
      </c>
      <c r="N62" s="456">
        <v>6231</v>
      </c>
      <c r="O62" s="456">
        <v>2475</v>
      </c>
      <c r="P62" s="456">
        <v>3951</v>
      </c>
      <c r="Q62" s="456">
        <v>622</v>
      </c>
      <c r="R62" s="456">
        <v>76</v>
      </c>
      <c r="S62" s="456">
        <v>274</v>
      </c>
      <c r="T62" s="456">
        <v>14</v>
      </c>
      <c r="U62" s="456">
        <v>12</v>
      </c>
      <c r="V62" s="465"/>
      <c r="W62" s="457"/>
      <c r="X62" s="457"/>
      <c r="Y62" s="456">
        <v>190</v>
      </c>
      <c r="Z62" s="456">
        <v>3915</v>
      </c>
      <c r="AA62" s="458">
        <f t="shared" si="1"/>
        <v>96614</v>
      </c>
      <c r="AB62" s="459">
        <f t="shared" si="2"/>
        <v>0.57410257476810445</v>
      </c>
      <c r="AC62" s="455">
        <f t="shared" si="3"/>
        <v>39313</v>
      </c>
      <c r="AD62" s="460"/>
      <c r="AE62" s="461" t="str">
        <f t="shared" si="4"/>
        <v>otro</v>
      </c>
      <c r="AF62" s="462" t="str">
        <f t="shared" si="5"/>
        <v>PRI-PVEM-NA</v>
      </c>
      <c r="AG62" s="124" t="str">
        <f t="shared" si="6"/>
        <v>PRI-PVEM-NA</v>
      </c>
      <c r="AH62" s="119">
        <f t="shared" si="7"/>
        <v>39313</v>
      </c>
      <c r="AI62" s="463">
        <f t="shared" si="8"/>
        <v>0.40690790154635975</v>
      </c>
      <c r="AJ62" s="464">
        <f>RANK(G62,($G62,$I62,$J62,$L62,$N62,$O62,$P62,$Q62,$W62,$X62,$Y62,$Z62,$AC62))</f>
        <v>2</v>
      </c>
      <c r="AK62" s="465"/>
      <c r="AL62" s="466">
        <f>RANK(I62,($G62,$I62,$J62,$L62,$N62,$O62,$P62,$Q62,$W62,$X62,$Y62,$Z62,$AC62))</f>
        <v>7</v>
      </c>
      <c r="AM62" s="466">
        <f>RANK(J62,($G62,$I62,$J62,$L62,$N62,$O62,$P62,$Q62,$W62,$X62,$Y62,$Z62,$AC62))</f>
        <v>3</v>
      </c>
      <c r="AN62" s="457"/>
      <c r="AO62" s="466">
        <f>RANK(L62,($G62,$I62,$J62,$L62,$N62,$O62,$P62,$Q62,$W62,$X62,$Y62,$Z62,$AC62))</f>
        <v>8</v>
      </c>
      <c r="AP62" s="457"/>
      <c r="AQ62" s="466">
        <f>RANK(N62,($G62,$I62,$J62,$L62,$N62,$O62,$P62,$Q62,$W62,$X62,$Y62,$Z62,$AC62))</f>
        <v>4</v>
      </c>
      <c r="AR62" s="466">
        <f>RANK(O62,($G62,$I62,$J62,$L62,$N62,$O62,$P62,$Q62,$W62,$X62,$Y62,$Z62,$AC62))</f>
        <v>9</v>
      </c>
      <c r="AS62" s="466">
        <f>RANK(P62,($G62,$I62,$J62,$L62,$N62,$O62,$P62,$Q62,$W62,$X62,$Y62,$Z62,$AC62))</f>
        <v>5</v>
      </c>
      <c r="AT62" s="466">
        <f>RANK(Q62,($G62,$I62,$J62,$L62,$N62,$O62,$P62,$Q62,$W62,$X62,$Y62,$Z62,$AC62))</f>
        <v>10</v>
      </c>
      <c r="AU62" s="457"/>
      <c r="AV62" s="457"/>
      <c r="AW62" s="466">
        <f>RANK(Y62,($G62,$I62,$J62,$L62,$N62,$O62,$P62,$Q62,$W62,$X62,$Y62,$Z62,$AC62))</f>
        <v>11</v>
      </c>
      <c r="AX62" s="466">
        <f>RANK(Z62,($G62,$I62,$J62,$L62,$N62,$O62,$P62,$Q62,$W62,$X62,$Y62,$Z62,$AC62))</f>
        <v>6</v>
      </c>
      <c r="AY62" s="466">
        <f>RANK(AC62,($G62,$I62,$J62,$L62,$N62,$O62,$P62,$Q62,$W62,$X62,$Y62,$Z62,$AC62))</f>
        <v>1</v>
      </c>
      <c r="AZ62" s="460"/>
      <c r="BA62" s="461" t="str">
        <f t="shared" si="9"/>
        <v>PAN</v>
      </c>
      <c r="BB62" s="124" t="str">
        <f t="shared" si="10"/>
        <v>ninguno</v>
      </c>
      <c r="BC62" s="124" t="str">
        <f t="shared" si="11"/>
        <v>PAN</v>
      </c>
      <c r="BD62" s="119">
        <f t="shared" si="12"/>
        <v>25679</v>
      </c>
      <c r="BE62" s="119" t="str">
        <f t="shared" si="13"/>
        <v>ninguno</v>
      </c>
      <c r="BF62" s="119">
        <f t="shared" si="14"/>
        <v>25679</v>
      </c>
      <c r="BG62" s="467">
        <f t="shared" si="15"/>
        <v>0.26578963711263376</v>
      </c>
      <c r="BH62" s="468">
        <f t="shared" si="16"/>
        <v>13634</v>
      </c>
      <c r="BI62" s="467">
        <f t="shared" si="16"/>
        <v>0.14111826443372599</v>
      </c>
    </row>
    <row r="63" spans="1:61">
      <c r="A63" s="434">
        <v>56</v>
      </c>
      <c r="B63" s="435" t="s">
        <v>77</v>
      </c>
      <c r="C63" s="436">
        <v>8477</v>
      </c>
      <c r="D63" s="434">
        <v>13</v>
      </c>
      <c r="E63" s="434">
        <v>13</v>
      </c>
      <c r="F63" s="437">
        <f t="shared" si="0"/>
        <v>1</v>
      </c>
      <c r="G63" s="455">
        <v>283</v>
      </c>
      <c r="H63" s="456">
        <v>1219</v>
      </c>
      <c r="I63" s="456">
        <v>139</v>
      </c>
      <c r="J63" s="456">
        <v>812</v>
      </c>
      <c r="K63" s="456">
        <v>22</v>
      </c>
      <c r="L63" s="456">
        <v>936</v>
      </c>
      <c r="M63" s="456">
        <v>32</v>
      </c>
      <c r="N63" s="456">
        <v>963</v>
      </c>
      <c r="O63" s="456">
        <v>245</v>
      </c>
      <c r="P63" s="456">
        <v>517</v>
      </c>
      <c r="Q63" s="465"/>
      <c r="R63" s="456">
        <v>5</v>
      </c>
      <c r="S63" s="456">
        <v>19</v>
      </c>
      <c r="T63" s="456">
        <v>2</v>
      </c>
      <c r="U63" s="456">
        <v>0</v>
      </c>
      <c r="V63" s="456">
        <v>29</v>
      </c>
      <c r="W63" s="457"/>
      <c r="X63" s="457"/>
      <c r="Y63" s="456">
        <v>2</v>
      </c>
      <c r="Z63" s="456">
        <v>131</v>
      </c>
      <c r="AA63" s="458">
        <f t="shared" si="1"/>
        <v>5356</v>
      </c>
      <c r="AB63" s="459">
        <f t="shared" si="2"/>
        <v>0.63182729739294563</v>
      </c>
      <c r="AC63" s="455">
        <f t="shared" si="3"/>
        <v>1299</v>
      </c>
      <c r="AD63" s="458">
        <f>G63+J63+V63</f>
        <v>1124</v>
      </c>
      <c r="AE63" s="461" t="str">
        <f t="shared" si="4"/>
        <v>otro</v>
      </c>
      <c r="AF63" s="462" t="str">
        <f t="shared" si="5"/>
        <v>PRI-PVEM-NA</v>
      </c>
      <c r="AG63" s="124" t="str">
        <f t="shared" si="6"/>
        <v>PRI-PVEM-NA</v>
      </c>
      <c r="AH63" s="119">
        <f t="shared" si="7"/>
        <v>1299</v>
      </c>
      <c r="AI63" s="463">
        <f t="shared" si="8"/>
        <v>0.24253174010455564</v>
      </c>
      <c r="AJ63" s="470"/>
      <c r="AK63" s="465"/>
      <c r="AL63" s="466">
        <f>RANK(I63,($I63,$L63,$N63,$O63,$P63,$Q63,$W63,$X63,$Y63,$Z63,$AC63,$AD63))</f>
        <v>7</v>
      </c>
      <c r="AM63" s="465"/>
      <c r="AN63" s="457"/>
      <c r="AO63" s="466">
        <f>RANK(L63,($I63,$L63,$N63,$O63,$P63,$Q63,$W63,$X63,$Y63,$Z63,$AC63,$AD63))</f>
        <v>4</v>
      </c>
      <c r="AP63" s="457"/>
      <c r="AQ63" s="466">
        <f>RANK(N63,($I63,$L63,$N63,$O63,$P63,$Q63,$W63,$X63,$Y63,$Z63,$AC63,$AD63))</f>
        <v>3</v>
      </c>
      <c r="AR63" s="466">
        <f>RANK(O63,($I63,$L63,$N63,$O63,$P63,$Q63,$W63,$X63,$Y63,$Z63,$AC63,$AD63))</f>
        <v>6</v>
      </c>
      <c r="AS63" s="466">
        <f>RANK(P63,($I63,$L63,$N63,$O63,$P63,$Q63,$W63,$X63,$Y63,$Z63,$AC63,$AD63))</f>
        <v>5</v>
      </c>
      <c r="AT63" s="457"/>
      <c r="AU63" s="457"/>
      <c r="AV63" s="457"/>
      <c r="AW63" s="466">
        <f>RANK(Y63,($I63,$L63,$N63,$O63,$P63,$Q63,$W63,$X63,$Y63,$Z63,$AC63,$AD63))</f>
        <v>9</v>
      </c>
      <c r="AX63" s="466">
        <f>RANK(Z63,($I63,$L63,$N63,$O63,$P63,$Q63,$W63,$X63,$Y63,$Z63,$AC63,$AD63))</f>
        <v>8</v>
      </c>
      <c r="AY63" s="466">
        <f>RANK(AC63,($I63,$L63,$N63,$O63,$P63,$Q63,$W63,$X63,$Y63,$Z63,$AC63,$AD63))</f>
        <v>1</v>
      </c>
      <c r="AZ63" s="471">
        <f>RANK(AD63,($I63,$L63,$N63,$O63,$P63,$Q63,$W63,$X63,$Y63,$Z63,$AC63,$AD63))</f>
        <v>2</v>
      </c>
      <c r="BA63" s="461" t="str">
        <f t="shared" si="9"/>
        <v>otro</v>
      </c>
      <c r="BB63" s="124" t="str">
        <f t="shared" si="10"/>
        <v>PAN-PT</v>
      </c>
      <c r="BC63" s="124" t="str">
        <f t="shared" si="11"/>
        <v>PAN-PT</v>
      </c>
      <c r="BD63" s="119" t="str">
        <f t="shared" si="12"/>
        <v>otro</v>
      </c>
      <c r="BE63" s="119">
        <f t="shared" si="13"/>
        <v>1124</v>
      </c>
      <c r="BF63" s="119">
        <f t="shared" si="14"/>
        <v>1124</v>
      </c>
      <c r="BG63" s="467">
        <f t="shared" si="15"/>
        <v>0.20985810306198655</v>
      </c>
      <c r="BH63" s="468">
        <f t="shared" si="16"/>
        <v>175</v>
      </c>
      <c r="BI63" s="467">
        <f t="shared" si="16"/>
        <v>3.2673637042569093E-2</v>
      </c>
    </row>
    <row r="64" spans="1:61">
      <c r="A64" s="434">
        <v>57</v>
      </c>
      <c r="B64" s="435" t="s">
        <v>78</v>
      </c>
      <c r="C64" s="436">
        <v>20162</v>
      </c>
      <c r="D64" s="434">
        <v>39</v>
      </c>
      <c r="E64" s="434">
        <v>39</v>
      </c>
      <c r="F64" s="437">
        <f t="shared" si="0"/>
        <v>1</v>
      </c>
      <c r="G64" s="455">
        <v>1563</v>
      </c>
      <c r="H64" s="456">
        <v>6335</v>
      </c>
      <c r="I64" s="456">
        <v>159</v>
      </c>
      <c r="J64" s="456">
        <v>110</v>
      </c>
      <c r="K64" s="456">
        <v>128</v>
      </c>
      <c r="L64" s="456">
        <v>5024</v>
      </c>
      <c r="M64" s="457"/>
      <c r="N64" s="456">
        <v>129</v>
      </c>
      <c r="O64" s="465"/>
      <c r="P64" s="456">
        <v>622</v>
      </c>
      <c r="Q64" s="456">
        <v>32</v>
      </c>
      <c r="R64" s="465"/>
      <c r="S64" s="465"/>
      <c r="T64" s="465"/>
      <c r="U64" s="465"/>
      <c r="V64" s="465"/>
      <c r="W64" s="457"/>
      <c r="X64" s="457"/>
      <c r="Y64" s="456">
        <v>4</v>
      </c>
      <c r="Z64" s="456">
        <v>465</v>
      </c>
      <c r="AA64" s="458">
        <f t="shared" si="1"/>
        <v>14571</v>
      </c>
      <c r="AB64" s="459">
        <f t="shared" si="2"/>
        <v>0.72269616109512946</v>
      </c>
      <c r="AC64" s="470"/>
      <c r="AD64" s="460"/>
      <c r="AE64" s="461" t="str">
        <f t="shared" si="4"/>
        <v>PRI</v>
      </c>
      <c r="AF64" s="462" t="str">
        <f t="shared" si="5"/>
        <v>ninguno</v>
      </c>
      <c r="AG64" s="124" t="str">
        <f t="shared" si="6"/>
        <v>PRI</v>
      </c>
      <c r="AH64" s="119">
        <f t="shared" si="7"/>
        <v>6335</v>
      </c>
      <c r="AI64" s="463">
        <f t="shared" si="8"/>
        <v>0.43476768924576215</v>
      </c>
      <c r="AJ64" s="464">
        <f>RANK(G64,($G64,$H64,$I64,$J64,$K64,$L64,$M64,$N64,$O64,$P64,$Q64,$W64,$X64,$Y64,$Z64))</f>
        <v>3</v>
      </c>
      <c r="AK64" s="466">
        <f>RANK(H64,($G64,$H64,$I64,$J64,$K64,$L64,$M64,$N64,$O64,$P64,$Q64,$W64,$X64,$Y64,$Z64))</f>
        <v>1</v>
      </c>
      <c r="AL64" s="466">
        <f>RANK(I64,($G64,$H64,$I64,$J64,$K64,$L64,$M64,$N64,$O64,$P64,$Q64,$W64,$X64,$Y64,$Z64))</f>
        <v>6</v>
      </c>
      <c r="AM64" s="466">
        <f>RANK(J64,($G64,$H64,$I64,$J64,$K64,$L64,$M64,$N64,$O64,$P64,$Q64,$W64,$X64,$Y64,$Z64))</f>
        <v>9</v>
      </c>
      <c r="AN64" s="466">
        <f>RANK(K64,($G64,$H64,$I64,$J64,$K64,$L64,$M64,$N64,$O64,$P64,$Q64,$W64,$X64,$Y64,$Z64))</f>
        <v>8</v>
      </c>
      <c r="AO64" s="466">
        <f>RANK(L64,($G64,$H64,$I64,$J64,$K64,$L64,$M64,$N64,$O64,$P64,$Q64,$W64,$X64,$Y64,$Z64))</f>
        <v>2</v>
      </c>
      <c r="AP64" s="457"/>
      <c r="AQ64" s="466">
        <f>RANK(N64,($G64,$H64,$I64,$J64,$K64,$L64,$M64,$N64,$O64,$P64,$Q64,$W64,$X64,$Y64,$Z64))</f>
        <v>7</v>
      </c>
      <c r="AR64" s="457"/>
      <c r="AS64" s="466">
        <f>RANK(P64,($G64,$H64,$I64,$J64,$K64,$L64,$M64,$N64,$O64,$P64,$Q64,$W64,$X64,$Y64,$Z64))</f>
        <v>4</v>
      </c>
      <c r="AT64" s="466">
        <f>RANK(Q64,($G64,$H64,$I64,$J64,$K64,$L64,$M64,$N64,$O64,$P64,$Q64,$W64,$X64,$Y64,$Z64))</f>
        <v>10</v>
      </c>
      <c r="AU64" s="457"/>
      <c r="AV64" s="457"/>
      <c r="AW64" s="466">
        <f>RANK(Y64,($G64,$H64,$I64,$J64,$K64,$L64,$M64,$N64,$O64,$P64,$Q64,$W64,$X64,$Y64,$Z64))</f>
        <v>11</v>
      </c>
      <c r="AX64" s="466">
        <f>RANK(Z64,($G64,$H64,$I64,$J64,$K64,$L64,$M64,$N64,$O64,$P64,$Q64,$W64,$X64,$Y64,$Z64))</f>
        <v>5</v>
      </c>
      <c r="AY64" s="465"/>
      <c r="AZ64" s="460"/>
      <c r="BA64" s="461" t="str">
        <f t="shared" si="9"/>
        <v>MC</v>
      </c>
      <c r="BB64" s="124" t="str">
        <f t="shared" si="10"/>
        <v>ninguno</v>
      </c>
      <c r="BC64" s="124" t="str">
        <f t="shared" si="11"/>
        <v>MC</v>
      </c>
      <c r="BD64" s="119">
        <f t="shared" si="12"/>
        <v>5024</v>
      </c>
      <c r="BE64" s="119" t="str">
        <f t="shared" si="13"/>
        <v>ninguno</v>
      </c>
      <c r="BF64" s="119">
        <f t="shared" si="14"/>
        <v>5024</v>
      </c>
      <c r="BG64" s="467">
        <f t="shared" si="15"/>
        <v>0.34479445473886489</v>
      </c>
      <c r="BH64" s="468">
        <f t="shared" si="16"/>
        <v>1311</v>
      </c>
      <c r="BI64" s="467">
        <f t="shared" si="16"/>
        <v>8.9973234506897259E-2</v>
      </c>
    </row>
    <row r="65" spans="1:61" ht="15">
      <c r="A65" s="434">
        <v>58</v>
      </c>
      <c r="B65" s="435" t="s">
        <v>696</v>
      </c>
      <c r="C65" s="436">
        <v>659383</v>
      </c>
      <c r="D65" s="434">
        <v>1110</v>
      </c>
      <c r="E65" s="434">
        <v>1109</v>
      </c>
      <c r="F65" s="474">
        <f t="shared" si="0"/>
        <v>0.99909909909909911</v>
      </c>
      <c r="G65" s="455">
        <v>106280</v>
      </c>
      <c r="H65" s="456">
        <v>76500</v>
      </c>
      <c r="I65" s="456">
        <v>14351</v>
      </c>
      <c r="J65" s="456">
        <v>3996</v>
      </c>
      <c r="K65" s="456">
        <v>8860</v>
      </c>
      <c r="L65" s="456">
        <v>8539</v>
      </c>
      <c r="M65" s="456">
        <v>6963</v>
      </c>
      <c r="N65" s="456">
        <v>32320</v>
      </c>
      <c r="O65" s="456">
        <v>7220</v>
      </c>
      <c r="P65" s="456">
        <v>13193</v>
      </c>
      <c r="Q65" s="456">
        <v>1473</v>
      </c>
      <c r="R65" s="456">
        <v>959</v>
      </c>
      <c r="S65" s="456">
        <v>1945</v>
      </c>
      <c r="T65" s="456">
        <v>341</v>
      </c>
      <c r="U65" s="456">
        <v>302</v>
      </c>
      <c r="V65" s="465"/>
      <c r="W65" s="457"/>
      <c r="X65" s="457"/>
      <c r="Y65" s="456">
        <v>595</v>
      </c>
      <c r="Z65" s="456">
        <v>14741</v>
      </c>
      <c r="AA65" s="458">
        <f t="shared" si="1"/>
        <v>298578</v>
      </c>
      <c r="AB65" s="459">
        <f t="shared" si="2"/>
        <v>0.45281422178005803</v>
      </c>
      <c r="AC65" s="455">
        <f t="shared" si="3"/>
        <v>95870</v>
      </c>
      <c r="AD65" s="460"/>
      <c r="AE65" s="461" t="str">
        <f t="shared" si="4"/>
        <v>PAN</v>
      </c>
      <c r="AF65" s="462" t="str">
        <f t="shared" si="5"/>
        <v>ninguno</v>
      </c>
      <c r="AG65" s="124" t="str">
        <f t="shared" si="6"/>
        <v>PAN</v>
      </c>
      <c r="AH65" s="119">
        <f t="shared" si="7"/>
        <v>106280</v>
      </c>
      <c r="AI65" s="463">
        <f t="shared" si="8"/>
        <v>0.35595388809624284</v>
      </c>
      <c r="AJ65" s="464">
        <f>RANK(G65,($G65,$I65,$J65,$L65,$N65,$O65,$P65,$Q65,$W65,$X65,$Y65,$Z65,$AC65))</f>
        <v>1</v>
      </c>
      <c r="AK65" s="465"/>
      <c r="AL65" s="466">
        <f>RANK(I65,($G65,$I65,$J65,$L65,$N65,$O65,$P65,$Q65,$W65,$X65,$Y65,$Z65,$AC65))</f>
        <v>5</v>
      </c>
      <c r="AM65" s="466">
        <f>RANK(J65,($G65,$I65,$J65,$L65,$N65,$O65,$P65,$Q65,$W65,$X65,$Y65,$Z65,$AC65))</f>
        <v>9</v>
      </c>
      <c r="AN65" s="457"/>
      <c r="AO65" s="466">
        <f>RANK(L65,($G65,$I65,$J65,$L65,$N65,$O65,$P65,$Q65,$W65,$X65,$Y65,$Z65,$AC65))</f>
        <v>7</v>
      </c>
      <c r="AP65" s="457"/>
      <c r="AQ65" s="466">
        <f>RANK(N65,($G65,$I65,$J65,$L65,$N65,$O65,$P65,$Q65,$W65,$X65,$Y65,$Z65,$AC65))</f>
        <v>3</v>
      </c>
      <c r="AR65" s="466">
        <f>RANK(O65,($G65,$I65,$J65,$L65,$N65,$O65,$P65,$Q65,$W65,$X65,$Y65,$Z65,$AC65))</f>
        <v>8</v>
      </c>
      <c r="AS65" s="466">
        <f>RANK(P65,($G65,$I65,$J65,$L65,$N65,$O65,$P65,$Q65,$W65,$X65,$Y65,$Z65,$AC65))</f>
        <v>6</v>
      </c>
      <c r="AT65" s="466">
        <f>RANK(Q65,($G65,$I65,$J65,$L65,$N65,$O65,$P65,$Q65,$W65,$X65,$Y65,$Z65,$AC65))</f>
        <v>10</v>
      </c>
      <c r="AU65" s="457"/>
      <c r="AV65" s="457"/>
      <c r="AW65" s="466">
        <f>RANK(Y65,($G65,$I65,$J65,$L65,$N65,$O65,$P65,$Q65,$W65,$X65,$Y65,$Z65,$AC65))</f>
        <v>11</v>
      </c>
      <c r="AX65" s="466">
        <f>RANK(Z65,($G65,$I65,$J65,$L65,$N65,$O65,$P65,$Q65,$W65,$X65,$Y65,$Z65,$AC65))</f>
        <v>4</v>
      </c>
      <c r="AY65" s="466">
        <f>RANK(AC65,($G65,$I65,$J65,$L65,$N65,$O65,$P65,$Q65,$W65,$X65,$Y65,$Z65,$AC65))</f>
        <v>2</v>
      </c>
      <c r="AZ65" s="460"/>
      <c r="BA65" s="461" t="str">
        <f t="shared" si="9"/>
        <v>otro</v>
      </c>
      <c r="BB65" s="124" t="str">
        <f t="shared" si="10"/>
        <v>PRI-PVEM-NA</v>
      </c>
      <c r="BC65" s="124" t="str">
        <f t="shared" si="11"/>
        <v>PRI-PVEM-NA</v>
      </c>
      <c r="BD65" s="119" t="str">
        <f t="shared" si="12"/>
        <v>otro</v>
      </c>
      <c r="BE65" s="119">
        <f t="shared" si="13"/>
        <v>95870</v>
      </c>
      <c r="BF65" s="119">
        <f t="shared" si="14"/>
        <v>95870</v>
      </c>
      <c r="BG65" s="467">
        <f t="shared" si="15"/>
        <v>0.32108862675749722</v>
      </c>
      <c r="BH65" s="468">
        <f t="shared" si="16"/>
        <v>10410</v>
      </c>
      <c r="BI65" s="467">
        <f t="shared" si="16"/>
        <v>3.4865261338745623E-2</v>
      </c>
    </row>
    <row r="66" spans="1:61">
      <c r="A66" s="434">
        <v>59</v>
      </c>
      <c r="B66" s="435" t="s">
        <v>79</v>
      </c>
      <c r="C66" s="436">
        <v>20891</v>
      </c>
      <c r="D66" s="434">
        <v>35</v>
      </c>
      <c r="E66" s="434">
        <v>35</v>
      </c>
      <c r="F66" s="437">
        <f t="shared" si="0"/>
        <v>1</v>
      </c>
      <c r="G66" s="455">
        <v>774</v>
      </c>
      <c r="H66" s="456">
        <v>2680</v>
      </c>
      <c r="I66" s="456">
        <v>3271</v>
      </c>
      <c r="J66" s="456">
        <v>975</v>
      </c>
      <c r="K66" s="456">
        <v>73</v>
      </c>
      <c r="L66" s="456">
        <v>1869</v>
      </c>
      <c r="M66" s="456">
        <v>70</v>
      </c>
      <c r="N66" s="456">
        <v>505</v>
      </c>
      <c r="O66" s="456">
        <v>215</v>
      </c>
      <c r="P66" s="456">
        <v>1852</v>
      </c>
      <c r="Q66" s="456">
        <v>508</v>
      </c>
      <c r="R66" s="456">
        <v>12</v>
      </c>
      <c r="S66" s="456">
        <v>20</v>
      </c>
      <c r="T66" s="456">
        <v>0</v>
      </c>
      <c r="U66" s="456">
        <v>0</v>
      </c>
      <c r="V66" s="465"/>
      <c r="W66" s="457"/>
      <c r="X66" s="457"/>
      <c r="Y66" s="456">
        <v>4</v>
      </c>
      <c r="Z66" s="456">
        <v>292</v>
      </c>
      <c r="AA66" s="458">
        <f t="shared" si="1"/>
        <v>13120</v>
      </c>
      <c r="AB66" s="459">
        <f t="shared" si="2"/>
        <v>0.62802163611124406</v>
      </c>
      <c r="AC66" s="455">
        <f t="shared" si="3"/>
        <v>2855</v>
      </c>
      <c r="AD66" s="460"/>
      <c r="AE66" s="461" t="str">
        <f t="shared" si="4"/>
        <v>PRD</v>
      </c>
      <c r="AF66" s="462" t="str">
        <f t="shared" si="5"/>
        <v>ninguno</v>
      </c>
      <c r="AG66" s="124" t="str">
        <f t="shared" si="6"/>
        <v>PRD</v>
      </c>
      <c r="AH66" s="119">
        <f t="shared" si="7"/>
        <v>3271</v>
      </c>
      <c r="AI66" s="463">
        <f t="shared" si="8"/>
        <v>0.24931402439024392</v>
      </c>
      <c r="AJ66" s="464">
        <f>RANK(G66,($G66,$I66,$J66,$L66,$N66,$O66,$P66,$Q66,$W66,$X66,$Y66,$Z66,$AC66))</f>
        <v>6</v>
      </c>
      <c r="AK66" s="465"/>
      <c r="AL66" s="466">
        <f>RANK(I66,($G66,$I66,$J66,$L66,$N66,$O66,$P66,$Q66,$W66,$X66,$Y66,$Z66,$AC66))</f>
        <v>1</v>
      </c>
      <c r="AM66" s="466">
        <f>RANK(J66,($G66,$I66,$J66,$L66,$N66,$O66,$P66,$Q66,$W66,$X66,$Y66,$Z66,$AC66))</f>
        <v>5</v>
      </c>
      <c r="AN66" s="457"/>
      <c r="AO66" s="466">
        <f>RANK(L66,($G66,$I66,$J66,$L66,$N66,$O66,$P66,$Q66,$W66,$X66,$Y66,$Z66,$AC66))</f>
        <v>3</v>
      </c>
      <c r="AP66" s="457"/>
      <c r="AQ66" s="466">
        <f>RANK(N66,($G66,$I66,$J66,$L66,$N66,$O66,$P66,$Q66,$W66,$X66,$Y66,$Z66,$AC66))</f>
        <v>8</v>
      </c>
      <c r="AR66" s="466">
        <f>RANK(O66,($G66,$I66,$J66,$L66,$N66,$O66,$P66,$Q66,$W66,$X66,$Y66,$Z66,$AC66))</f>
        <v>10</v>
      </c>
      <c r="AS66" s="466">
        <f>RANK(P66,($G66,$I66,$J66,$L66,$N66,$O66,$P66,$Q66,$W66,$X66,$Y66,$Z66,$AC66))</f>
        <v>4</v>
      </c>
      <c r="AT66" s="466">
        <f>RANK(Q66,($G66,$I66,$J66,$L66,$N66,$O66,$P66,$Q66,$W66,$X66,$Y66,$Z66,$AC66))</f>
        <v>7</v>
      </c>
      <c r="AU66" s="457"/>
      <c r="AV66" s="457"/>
      <c r="AW66" s="466">
        <f>RANK(Y66,($G66,$I66,$J66,$L66,$N66,$O66,$P66,$Q66,$W66,$X66,$Y66,$Z66,$AC66))</f>
        <v>11</v>
      </c>
      <c r="AX66" s="466">
        <f>RANK(Z66,($G66,$I66,$J66,$L66,$N66,$O66,$P66,$Q66,$W66,$X66,$Y66,$Z66,$AC66))</f>
        <v>9</v>
      </c>
      <c r="AY66" s="466">
        <f>RANK(AC66,($G66,$I66,$J66,$L66,$N66,$O66,$P66,$Q66,$W66,$X66,$Y66,$Z66,$AC66))</f>
        <v>2</v>
      </c>
      <c r="AZ66" s="460"/>
      <c r="BA66" s="461" t="str">
        <f t="shared" si="9"/>
        <v>otro</v>
      </c>
      <c r="BB66" s="124" t="str">
        <f t="shared" si="10"/>
        <v>PRI-PVEM-NA</v>
      </c>
      <c r="BC66" s="124" t="str">
        <f t="shared" si="11"/>
        <v>PRI-PVEM-NA</v>
      </c>
      <c r="BD66" s="119" t="str">
        <f t="shared" si="12"/>
        <v>otro</v>
      </c>
      <c r="BE66" s="119">
        <f t="shared" si="13"/>
        <v>2855</v>
      </c>
      <c r="BF66" s="119">
        <f t="shared" si="14"/>
        <v>2855</v>
      </c>
      <c r="BG66" s="467">
        <f t="shared" si="15"/>
        <v>0.21760670731707318</v>
      </c>
      <c r="BH66" s="468">
        <f t="shared" si="16"/>
        <v>416</v>
      </c>
      <c r="BI66" s="467">
        <f t="shared" si="16"/>
        <v>3.1707317073170732E-2</v>
      </c>
    </row>
    <row r="67" spans="1:61" ht="15">
      <c r="A67" s="434">
        <v>60</v>
      </c>
      <c r="B67" s="435" t="s">
        <v>697</v>
      </c>
      <c r="C67" s="436">
        <v>846370</v>
      </c>
      <c r="D67" s="434">
        <v>1488</v>
      </c>
      <c r="E67" s="434">
        <v>1486</v>
      </c>
      <c r="F67" s="474">
        <f t="shared" si="0"/>
        <v>0.99865591397849462</v>
      </c>
      <c r="G67" s="455">
        <v>12423</v>
      </c>
      <c r="H67" s="456">
        <v>83467</v>
      </c>
      <c r="I67" s="456">
        <v>215361</v>
      </c>
      <c r="J67" s="456">
        <v>3785</v>
      </c>
      <c r="K67" s="456">
        <v>8320</v>
      </c>
      <c r="L67" s="456">
        <v>5417</v>
      </c>
      <c r="M67" s="456">
        <v>7632</v>
      </c>
      <c r="N67" s="456">
        <v>30408</v>
      </c>
      <c r="O67" s="456">
        <v>6890</v>
      </c>
      <c r="P67" s="456">
        <v>11956</v>
      </c>
      <c r="Q67" s="456">
        <v>1448</v>
      </c>
      <c r="R67" s="465"/>
      <c r="S67" s="465"/>
      <c r="T67" s="465"/>
      <c r="U67" s="465"/>
      <c r="V67" s="465"/>
      <c r="W67" s="457"/>
      <c r="X67" s="457"/>
      <c r="Y67" s="456">
        <v>633</v>
      </c>
      <c r="Z67" s="456">
        <v>17152</v>
      </c>
      <c r="AA67" s="458">
        <f t="shared" si="1"/>
        <v>404892</v>
      </c>
      <c r="AB67" s="459">
        <f t="shared" si="2"/>
        <v>0.47838652126138687</v>
      </c>
      <c r="AC67" s="470"/>
      <c r="AD67" s="460"/>
      <c r="AE67" s="461" t="str">
        <f t="shared" si="4"/>
        <v>PRD</v>
      </c>
      <c r="AF67" s="462" t="str">
        <f t="shared" si="5"/>
        <v>ninguno</v>
      </c>
      <c r="AG67" s="124" t="str">
        <f t="shared" si="6"/>
        <v>PRD</v>
      </c>
      <c r="AH67" s="119">
        <f t="shared" si="7"/>
        <v>215361</v>
      </c>
      <c r="AI67" s="463">
        <f t="shared" si="8"/>
        <v>0.53189739486085175</v>
      </c>
      <c r="AJ67" s="464">
        <f>RANK(G67,($G67,$H67,$I67,$J67,$K67,$L67,$M67,$N67,$O67,$P67,$Q67,$W67,$X67,$Y67,$Z67))</f>
        <v>5</v>
      </c>
      <c r="AK67" s="466">
        <f>RANK(H67,($G67,$H67,$I67,$J67,$K67,$L67,$M67,$N67,$O67,$P67,$Q67,$W67,$X67,$Y67,$Z67))</f>
        <v>2</v>
      </c>
      <c r="AL67" s="466">
        <f>RANK(I67,($G67,$H67,$I67,$J67,$K67,$L67,$M67,$N67,$O67,$P67,$Q67,$W67,$X67,$Y67,$Z67))</f>
        <v>1</v>
      </c>
      <c r="AM67" s="466">
        <f>RANK(J67,($G67,$H67,$I67,$J67,$K67,$L67,$M67,$N67,$O67,$P67,$Q67,$W67,$X67,$Y67,$Z67))</f>
        <v>11</v>
      </c>
      <c r="AN67" s="466">
        <f>RANK(K67,($G67,$H67,$I67,$J67,$K67,$L67,$M67,$N67,$O67,$P67,$Q67,$W67,$X67,$Y67,$Z67))</f>
        <v>7</v>
      </c>
      <c r="AO67" s="466">
        <f>RANK(L67,($G67,$H67,$I67,$J67,$K67,$L67,$M67,$N67,$O67,$P67,$Q67,$W67,$X67,$Y67,$Z67))</f>
        <v>10</v>
      </c>
      <c r="AP67" s="466">
        <f>RANK(M67,($G67,$H67,$I67,$J67,$K67,$L67,$M67,$N67,$O67,$P67,$Q67,$W67,$X67,$Y67,$Z67))</f>
        <v>8</v>
      </c>
      <c r="AQ67" s="466">
        <f>RANK(N67,($G67,$H67,$I67,$J67,$K67,$L67,$M67,$N67,$O67,$P67,$Q67,$W67,$X67,$Y67,$Z67))</f>
        <v>3</v>
      </c>
      <c r="AR67" s="466">
        <f>RANK(O67,($G67,$H67,$I67,$J67,$K67,$L67,$M67,$N67,$O67,$P67,$Q67,$W67,$X67,$Y67,$Z67))</f>
        <v>9</v>
      </c>
      <c r="AS67" s="466">
        <f>RANK(P67,($G67,$H67,$I67,$J67,$K67,$L67,$M67,$N67,$O67,$P67,$Q67,$W67,$X67,$Y67,$Z67))</f>
        <v>6</v>
      </c>
      <c r="AT67" s="466">
        <f>RANK(Q67,($G67,$H67,$I67,$J67,$K67,$L67,$M67,$N67,$O67,$P67,$Q67,$W67,$X67,$Y67,$Z67))</f>
        <v>12</v>
      </c>
      <c r="AU67" s="457"/>
      <c r="AV67" s="457"/>
      <c r="AW67" s="466">
        <f>RANK(Y67,($G67,$H67,$I67,$J67,$K67,$L67,$M67,$N67,$O67,$P67,$Q67,$W67,$X67,$Y67,$Z67))</f>
        <v>13</v>
      </c>
      <c r="AX67" s="466">
        <f>RANK(Z67,($G67,$H67,$I67,$J67,$K67,$L67,$M67,$N67,$O67,$P67,$Q67,$W67,$X67,$Y67,$Z67))</f>
        <v>4</v>
      </c>
      <c r="AY67" s="465"/>
      <c r="AZ67" s="460"/>
      <c r="BA67" s="461" t="str">
        <f t="shared" si="9"/>
        <v>PRI</v>
      </c>
      <c r="BB67" s="124" t="str">
        <f t="shared" si="10"/>
        <v>ninguno</v>
      </c>
      <c r="BC67" s="124" t="str">
        <f t="shared" si="11"/>
        <v>PRI</v>
      </c>
      <c r="BD67" s="119">
        <f t="shared" si="12"/>
        <v>83467</v>
      </c>
      <c r="BE67" s="119" t="str">
        <f t="shared" si="13"/>
        <v>ninguno</v>
      </c>
      <c r="BF67" s="119">
        <f t="shared" si="14"/>
        <v>83467</v>
      </c>
      <c r="BG67" s="467">
        <f t="shared" si="15"/>
        <v>0.2061463303794592</v>
      </c>
      <c r="BH67" s="468">
        <f t="shared" si="16"/>
        <v>131894</v>
      </c>
      <c r="BI67" s="467">
        <f t="shared" si="16"/>
        <v>0.32575106448139257</v>
      </c>
    </row>
    <row r="68" spans="1:61">
      <c r="A68" s="434">
        <v>61</v>
      </c>
      <c r="B68" s="435" t="s">
        <v>81</v>
      </c>
      <c r="C68" s="436">
        <v>260530</v>
      </c>
      <c r="D68" s="434">
        <v>405</v>
      </c>
      <c r="E68" s="434">
        <v>405</v>
      </c>
      <c r="F68" s="437">
        <f t="shared" si="0"/>
        <v>1</v>
      </c>
      <c r="G68" s="455">
        <v>35217</v>
      </c>
      <c r="H68" s="456">
        <v>44894</v>
      </c>
      <c r="I68" s="456">
        <v>5106</v>
      </c>
      <c r="J68" s="456">
        <v>1605</v>
      </c>
      <c r="K68" s="456">
        <v>2618</v>
      </c>
      <c r="L68" s="456">
        <v>5780</v>
      </c>
      <c r="M68" s="456">
        <v>3398</v>
      </c>
      <c r="N68" s="456">
        <v>10684</v>
      </c>
      <c r="O68" s="456">
        <v>3215</v>
      </c>
      <c r="P68" s="456">
        <v>4076</v>
      </c>
      <c r="Q68" s="456">
        <v>569</v>
      </c>
      <c r="R68" s="456">
        <v>515</v>
      </c>
      <c r="S68" s="456">
        <v>545</v>
      </c>
      <c r="T68" s="456">
        <v>47</v>
      </c>
      <c r="U68" s="456">
        <v>15</v>
      </c>
      <c r="V68" s="465"/>
      <c r="W68" s="457"/>
      <c r="X68" s="457"/>
      <c r="Y68" s="456">
        <v>98</v>
      </c>
      <c r="Z68" s="456">
        <v>3775</v>
      </c>
      <c r="AA68" s="458">
        <f t="shared" si="1"/>
        <v>122157</v>
      </c>
      <c r="AB68" s="459">
        <f t="shared" si="2"/>
        <v>0.46887882393582314</v>
      </c>
      <c r="AC68" s="455">
        <f t="shared" si="3"/>
        <v>52032</v>
      </c>
      <c r="AD68" s="460"/>
      <c r="AE68" s="461" t="str">
        <f t="shared" si="4"/>
        <v>otro</v>
      </c>
      <c r="AF68" s="462" t="str">
        <f t="shared" si="5"/>
        <v>PRI-PVEM-NA</v>
      </c>
      <c r="AG68" s="124" t="str">
        <f t="shared" si="6"/>
        <v>PRI-PVEM-NA</v>
      </c>
      <c r="AH68" s="119">
        <f t="shared" si="7"/>
        <v>52032</v>
      </c>
      <c r="AI68" s="463">
        <f t="shared" si="8"/>
        <v>0.42594366266362138</v>
      </c>
      <c r="AJ68" s="464">
        <f>RANK(G68,($G68,$I68,$J68,$L68,$N68,$O68,$P68,$Q68,$W68,$X68,$Y68,$Z68,$AC68))</f>
        <v>2</v>
      </c>
      <c r="AK68" s="465"/>
      <c r="AL68" s="466">
        <f>RANK(I68,($G68,$I68,$J68,$L68,$N68,$O68,$P68,$Q68,$W68,$X68,$Y68,$Z68,$AC68))</f>
        <v>5</v>
      </c>
      <c r="AM68" s="466">
        <f>RANK(J68,($G68,$I68,$J68,$L68,$N68,$O68,$P68,$Q68,$W68,$X68,$Y68,$Z68,$AC68))</f>
        <v>9</v>
      </c>
      <c r="AN68" s="457"/>
      <c r="AO68" s="466">
        <f>RANK(L68,($G68,$I68,$J68,$L68,$N68,$O68,$P68,$Q68,$W68,$X68,$Y68,$Z68,$AC68))</f>
        <v>4</v>
      </c>
      <c r="AP68" s="457"/>
      <c r="AQ68" s="466">
        <f>RANK(N68,($G68,$I68,$J68,$L68,$N68,$O68,$P68,$Q68,$W68,$X68,$Y68,$Z68,$AC68))</f>
        <v>3</v>
      </c>
      <c r="AR68" s="466">
        <f>RANK(O68,($G68,$I68,$J68,$L68,$N68,$O68,$P68,$Q68,$W68,$X68,$Y68,$Z68,$AC68))</f>
        <v>8</v>
      </c>
      <c r="AS68" s="466">
        <f>RANK(P68,($G68,$I68,$J68,$L68,$N68,$O68,$P68,$Q68,$W68,$X68,$Y68,$Z68,$AC68))</f>
        <v>6</v>
      </c>
      <c r="AT68" s="466">
        <f>RANK(Q68,($G68,$I68,$J68,$L68,$N68,$O68,$P68,$Q68,$W68,$X68,$Y68,$Z68,$AC68))</f>
        <v>10</v>
      </c>
      <c r="AU68" s="457"/>
      <c r="AV68" s="457"/>
      <c r="AW68" s="466">
        <f>RANK(Y68,($G68,$I68,$J68,$L68,$N68,$O68,$P68,$Q68,$W68,$X68,$Y68,$Z68,$AC68))</f>
        <v>11</v>
      </c>
      <c r="AX68" s="466">
        <f>RANK(Z68,($G68,$I68,$J68,$L68,$N68,$O68,$P68,$Q68,$W68,$X68,$Y68,$Z68,$AC68))</f>
        <v>7</v>
      </c>
      <c r="AY68" s="466">
        <f>RANK(AC68,($G68,$I68,$J68,$L68,$N68,$O68,$P68,$Q68,$W68,$X68,$Y68,$Z68,$AC68))</f>
        <v>1</v>
      </c>
      <c r="AZ68" s="460"/>
      <c r="BA68" s="461" t="str">
        <f t="shared" si="9"/>
        <v>PAN</v>
      </c>
      <c r="BB68" s="124" t="str">
        <f t="shared" si="10"/>
        <v>ninguno</v>
      </c>
      <c r="BC68" s="124" t="str">
        <f t="shared" si="11"/>
        <v>PAN</v>
      </c>
      <c r="BD68" s="119">
        <f t="shared" si="12"/>
        <v>35217</v>
      </c>
      <c r="BE68" s="119" t="str">
        <f t="shared" si="13"/>
        <v>ninguno</v>
      </c>
      <c r="BF68" s="119">
        <f t="shared" si="14"/>
        <v>35217</v>
      </c>
      <c r="BG68" s="467">
        <f t="shared" si="15"/>
        <v>0.2882929345023208</v>
      </c>
      <c r="BH68" s="468">
        <f t="shared" si="16"/>
        <v>16815</v>
      </c>
      <c r="BI68" s="467">
        <f t="shared" si="16"/>
        <v>0.13765072816130058</v>
      </c>
    </row>
    <row r="69" spans="1:61">
      <c r="A69" s="434">
        <v>62</v>
      </c>
      <c r="B69" s="435" t="s">
        <v>82</v>
      </c>
      <c r="C69" s="436">
        <v>7030</v>
      </c>
      <c r="D69" s="434">
        <v>12</v>
      </c>
      <c r="E69" s="434">
        <v>12</v>
      </c>
      <c r="F69" s="437">
        <f t="shared" si="0"/>
        <v>1</v>
      </c>
      <c r="G69" s="455">
        <v>2702</v>
      </c>
      <c r="H69" s="456">
        <v>2587</v>
      </c>
      <c r="I69" s="456">
        <v>46</v>
      </c>
      <c r="J69" s="457"/>
      <c r="K69" s="456">
        <v>31</v>
      </c>
      <c r="L69" s="456">
        <v>92</v>
      </c>
      <c r="M69" s="456">
        <v>12</v>
      </c>
      <c r="N69" s="456">
        <v>33</v>
      </c>
      <c r="O69" s="456">
        <v>41</v>
      </c>
      <c r="P69" s="465"/>
      <c r="Q69" s="465"/>
      <c r="R69" s="456">
        <v>18</v>
      </c>
      <c r="S69" s="456">
        <v>71</v>
      </c>
      <c r="T69" s="456">
        <v>2</v>
      </c>
      <c r="U69" s="456">
        <v>0</v>
      </c>
      <c r="V69" s="465"/>
      <c r="W69" s="457"/>
      <c r="X69" s="457"/>
      <c r="Y69" s="456">
        <v>1</v>
      </c>
      <c r="Z69" s="456">
        <v>73</v>
      </c>
      <c r="AA69" s="458">
        <f t="shared" si="1"/>
        <v>5709</v>
      </c>
      <c r="AB69" s="459">
        <f t="shared" si="2"/>
        <v>0.81209103840682784</v>
      </c>
      <c r="AC69" s="455">
        <f t="shared" si="3"/>
        <v>2721</v>
      </c>
      <c r="AD69" s="460"/>
      <c r="AE69" s="461" t="str">
        <f t="shared" si="4"/>
        <v>otro</v>
      </c>
      <c r="AF69" s="462" t="str">
        <f t="shared" si="5"/>
        <v>PRI-PVEM-NA</v>
      </c>
      <c r="AG69" s="124" t="str">
        <f t="shared" si="6"/>
        <v>PRI-PVEM-NA</v>
      </c>
      <c r="AH69" s="119">
        <f t="shared" si="7"/>
        <v>2721</v>
      </c>
      <c r="AI69" s="463">
        <f t="shared" si="8"/>
        <v>0.47661586967945352</v>
      </c>
      <c r="AJ69" s="464">
        <f>RANK(G69,($G69,$I69,$J69,$L69,$N69,$O69,$P69,$Q69,$W69,$X69,$Y69,$Z69,$AC69))</f>
        <v>2</v>
      </c>
      <c r="AK69" s="465"/>
      <c r="AL69" s="466">
        <f>RANK(I69,($G69,$I69,$J69,$L69,$N69,$O69,$P69,$Q69,$W69,$X69,$Y69,$Z69,$AC69))</f>
        <v>5</v>
      </c>
      <c r="AM69" s="465"/>
      <c r="AN69" s="457"/>
      <c r="AO69" s="466">
        <f>RANK(L69,($G69,$I69,$J69,$L69,$N69,$O69,$P69,$Q69,$W69,$X69,$Y69,$Z69,$AC69))</f>
        <v>3</v>
      </c>
      <c r="AP69" s="457"/>
      <c r="AQ69" s="466">
        <f>RANK(N69,($G69,$I69,$J69,$L69,$N69,$O69,$P69,$Q69,$W69,$X69,$Y69,$Z69,$AC69))</f>
        <v>7</v>
      </c>
      <c r="AR69" s="466">
        <f>RANK(O69,($G69,$I69,$J69,$L69,$N69,$O69,$P69,$Q69,$W69,$X69,$Y69,$Z69,$AC69))</f>
        <v>6</v>
      </c>
      <c r="AS69" s="457"/>
      <c r="AT69" s="457"/>
      <c r="AU69" s="457"/>
      <c r="AV69" s="457"/>
      <c r="AW69" s="466">
        <f>RANK(Y69,($G69,$I69,$J69,$L69,$N69,$O69,$P69,$Q69,$W69,$X69,$Y69,$Z69,$AC69))</f>
        <v>8</v>
      </c>
      <c r="AX69" s="466">
        <f>RANK(Z69,($G69,$I69,$J69,$L69,$N69,$O69,$P69,$Q69,$W69,$X69,$Y69,$Z69,$AC69))</f>
        <v>4</v>
      </c>
      <c r="AY69" s="466">
        <f>RANK(AC69,($G69,$I69,$J69,$L69,$N69,$O69,$P69,$Q69,$W69,$X69,$Y69,$Z69,$AC69))</f>
        <v>1</v>
      </c>
      <c r="AZ69" s="460"/>
      <c r="BA69" s="461" t="str">
        <f t="shared" si="9"/>
        <v>PAN</v>
      </c>
      <c r="BB69" s="124" t="str">
        <f t="shared" si="10"/>
        <v>ninguno</v>
      </c>
      <c r="BC69" s="124" t="str">
        <f t="shared" si="11"/>
        <v>PAN</v>
      </c>
      <c r="BD69" s="119">
        <f t="shared" si="12"/>
        <v>2702</v>
      </c>
      <c r="BE69" s="119" t="str">
        <f t="shared" si="13"/>
        <v>ninguno</v>
      </c>
      <c r="BF69" s="119">
        <f t="shared" si="14"/>
        <v>2702</v>
      </c>
      <c r="BG69" s="467">
        <f t="shared" si="15"/>
        <v>0.47328779120686637</v>
      </c>
      <c r="BH69" s="468">
        <f t="shared" si="16"/>
        <v>19</v>
      </c>
      <c r="BI69" s="467">
        <f t="shared" si="16"/>
        <v>3.3280784725871482E-3</v>
      </c>
    </row>
    <row r="70" spans="1:61">
      <c r="A70" s="434">
        <v>63</v>
      </c>
      <c r="B70" s="435" t="s">
        <v>662</v>
      </c>
      <c r="C70" s="436">
        <v>42966</v>
      </c>
      <c r="D70" s="434">
        <v>69</v>
      </c>
      <c r="E70" s="434">
        <v>69</v>
      </c>
      <c r="F70" s="437">
        <f t="shared" si="0"/>
        <v>1</v>
      </c>
      <c r="G70" s="455">
        <v>1921</v>
      </c>
      <c r="H70" s="456">
        <v>6530</v>
      </c>
      <c r="I70" s="456">
        <v>3587</v>
      </c>
      <c r="J70" s="456">
        <v>1745</v>
      </c>
      <c r="K70" s="456">
        <v>297</v>
      </c>
      <c r="L70" s="456">
        <v>3909</v>
      </c>
      <c r="M70" s="456">
        <v>262</v>
      </c>
      <c r="N70" s="456">
        <v>1080</v>
      </c>
      <c r="O70" s="456">
        <v>1680</v>
      </c>
      <c r="P70" s="456">
        <v>1676</v>
      </c>
      <c r="Q70" s="456">
        <v>671</v>
      </c>
      <c r="R70" s="456">
        <v>28</v>
      </c>
      <c r="S70" s="456">
        <v>45</v>
      </c>
      <c r="T70" s="456">
        <v>2</v>
      </c>
      <c r="U70" s="456">
        <v>1</v>
      </c>
      <c r="V70" s="465"/>
      <c r="W70" s="457"/>
      <c r="X70" s="457"/>
      <c r="Y70" s="456">
        <v>156</v>
      </c>
      <c r="Z70" s="456">
        <v>813</v>
      </c>
      <c r="AA70" s="458">
        <f t="shared" si="1"/>
        <v>24403</v>
      </c>
      <c r="AB70" s="459">
        <f t="shared" si="2"/>
        <v>0.56796071312200347</v>
      </c>
      <c r="AC70" s="455">
        <f t="shared" si="3"/>
        <v>7165</v>
      </c>
      <c r="AD70" s="460"/>
      <c r="AE70" s="461" t="str">
        <f t="shared" si="4"/>
        <v>otro</v>
      </c>
      <c r="AF70" s="462" t="str">
        <f t="shared" si="5"/>
        <v>PRI-PVEM-NA</v>
      </c>
      <c r="AG70" s="124" t="str">
        <f t="shared" si="6"/>
        <v>PRI-PVEM-NA</v>
      </c>
      <c r="AH70" s="119">
        <f t="shared" si="7"/>
        <v>7165</v>
      </c>
      <c r="AI70" s="463">
        <f t="shared" si="8"/>
        <v>0.29361144121624388</v>
      </c>
      <c r="AJ70" s="464">
        <f>RANK(G70,($G70,$I70,$J70,$L70,$N70,$O70,$P70,$Q70,$W70,$X70,$Y70,$Z70,$AC70))</f>
        <v>4</v>
      </c>
      <c r="AK70" s="465"/>
      <c r="AL70" s="466">
        <f>RANK(I70,($G70,$I70,$J70,$L70,$N70,$O70,$P70,$Q70,$W70,$X70,$Y70,$Z70,$AC70))</f>
        <v>3</v>
      </c>
      <c r="AM70" s="466">
        <f>RANK(J70,($G70,$I70,$J70,$L70,$N70,$O70,$P70,$Q70,$W70,$X70,$Y70,$Z70,$AC70))</f>
        <v>5</v>
      </c>
      <c r="AN70" s="457"/>
      <c r="AO70" s="466">
        <f>RANK(L70,($G70,$I70,$J70,$L70,$N70,$O70,$P70,$Q70,$W70,$X70,$Y70,$Z70,$AC70))</f>
        <v>2</v>
      </c>
      <c r="AP70" s="457"/>
      <c r="AQ70" s="466">
        <f>RANK(N70,($G70,$I70,$J70,$L70,$N70,$O70,$P70,$Q70,$W70,$X70,$Y70,$Z70,$AC70))</f>
        <v>8</v>
      </c>
      <c r="AR70" s="466">
        <f>RANK(O70,($G70,$I70,$J70,$L70,$N70,$O70,$P70,$Q70,$W70,$X70,$Y70,$Z70,$AC70))</f>
        <v>6</v>
      </c>
      <c r="AS70" s="466">
        <f>RANK(P70,($G70,$I70,$J70,$L70,$N70,$O70,$P70,$Q70,$W70,$X70,$Y70,$Z70,$AC70))</f>
        <v>7</v>
      </c>
      <c r="AT70" s="466">
        <f>RANK(Q70,($G70,$I70,$J70,$L70,$N70,$O70,$P70,$Q70,$W70,$X70,$Y70,$Z70,$AC70))</f>
        <v>10</v>
      </c>
      <c r="AU70" s="457"/>
      <c r="AV70" s="457"/>
      <c r="AW70" s="466">
        <f>RANK(Y70,($G70,$I70,$J70,$L70,$N70,$O70,$P70,$Q70,$W70,$X70,$Y70,$Z70,$AC70))</f>
        <v>11</v>
      </c>
      <c r="AX70" s="466">
        <f>RANK(Z70,($G70,$I70,$J70,$L70,$N70,$O70,$P70,$Q70,$W70,$X70,$Y70,$Z70,$AC70))</f>
        <v>9</v>
      </c>
      <c r="AY70" s="466">
        <f>RANK(AC70,($G70,$I70,$J70,$L70,$N70,$O70,$P70,$Q70,$W70,$X70,$Y70,$Z70,$AC70))</f>
        <v>1</v>
      </c>
      <c r="AZ70" s="460"/>
      <c r="BA70" s="461" t="str">
        <f t="shared" si="9"/>
        <v>MC</v>
      </c>
      <c r="BB70" s="124" t="str">
        <f t="shared" si="10"/>
        <v>ninguno</v>
      </c>
      <c r="BC70" s="124" t="str">
        <f t="shared" si="11"/>
        <v>MC</v>
      </c>
      <c r="BD70" s="119">
        <f t="shared" si="12"/>
        <v>3909</v>
      </c>
      <c r="BE70" s="119" t="str">
        <f t="shared" si="13"/>
        <v>ninguno</v>
      </c>
      <c r="BF70" s="119">
        <f t="shared" si="14"/>
        <v>3909</v>
      </c>
      <c r="BG70" s="467">
        <f t="shared" si="15"/>
        <v>0.16018522312830391</v>
      </c>
      <c r="BH70" s="468">
        <f t="shared" si="16"/>
        <v>3256</v>
      </c>
      <c r="BI70" s="467">
        <f t="shared" si="16"/>
        <v>0.13342621808793997</v>
      </c>
    </row>
    <row r="71" spans="1:61">
      <c r="A71" s="434">
        <v>64</v>
      </c>
      <c r="B71" s="435" t="s">
        <v>84</v>
      </c>
      <c r="C71" s="436">
        <v>19126</v>
      </c>
      <c r="D71" s="434">
        <v>35</v>
      </c>
      <c r="E71" s="434">
        <v>35</v>
      </c>
      <c r="F71" s="437">
        <f t="shared" si="0"/>
        <v>1</v>
      </c>
      <c r="G71" s="455">
        <v>3295</v>
      </c>
      <c r="H71" s="456">
        <v>4133</v>
      </c>
      <c r="I71" s="456">
        <v>4792</v>
      </c>
      <c r="J71" s="456">
        <v>195</v>
      </c>
      <c r="K71" s="456">
        <v>39</v>
      </c>
      <c r="L71" s="457"/>
      <c r="M71" s="456">
        <v>164</v>
      </c>
      <c r="N71" s="456">
        <v>872</v>
      </c>
      <c r="O71" s="456">
        <v>265</v>
      </c>
      <c r="P71" s="465"/>
      <c r="Q71" s="465"/>
      <c r="R71" s="456">
        <v>26</v>
      </c>
      <c r="S71" s="456">
        <v>35</v>
      </c>
      <c r="T71" s="456">
        <v>16</v>
      </c>
      <c r="U71" s="456">
        <v>0</v>
      </c>
      <c r="V71" s="465"/>
      <c r="W71" s="457"/>
      <c r="X71" s="457"/>
      <c r="Y71" s="456">
        <v>3</v>
      </c>
      <c r="Z71" s="456">
        <v>342</v>
      </c>
      <c r="AA71" s="458">
        <f t="shared" si="1"/>
        <v>14177</v>
      </c>
      <c r="AB71" s="459">
        <f t="shared" si="2"/>
        <v>0.74124228798494196</v>
      </c>
      <c r="AC71" s="455">
        <f t="shared" si="3"/>
        <v>4413</v>
      </c>
      <c r="AD71" s="460"/>
      <c r="AE71" s="461" t="str">
        <f t="shared" si="4"/>
        <v>PRD</v>
      </c>
      <c r="AF71" s="462" t="str">
        <f t="shared" si="5"/>
        <v>ninguno</v>
      </c>
      <c r="AG71" s="124" t="str">
        <f t="shared" si="6"/>
        <v>PRD</v>
      </c>
      <c r="AH71" s="119">
        <f t="shared" si="7"/>
        <v>4792</v>
      </c>
      <c r="AI71" s="463">
        <f t="shared" si="8"/>
        <v>0.33801227340057838</v>
      </c>
      <c r="AJ71" s="464">
        <f>RANK(G71,($G71,$I71,$J71,$L71,$N71,$O71,$P71,$Q71,$W71,$X71,$Y71,$Z71,$AC71))</f>
        <v>3</v>
      </c>
      <c r="AK71" s="465"/>
      <c r="AL71" s="466">
        <f>RANK(I71,($G71,$I71,$J71,$L71,$N71,$O71,$P71,$Q71,$W71,$X71,$Y71,$Z71,$AC71))</f>
        <v>1</v>
      </c>
      <c r="AM71" s="466">
        <f>RANK(J71,($G71,$I71,$J71,$L71,$N71,$O71,$P71,$Q71,$W71,$X71,$Y71,$Z71,$AC71))</f>
        <v>7</v>
      </c>
      <c r="AN71" s="457"/>
      <c r="AO71" s="457"/>
      <c r="AP71" s="457"/>
      <c r="AQ71" s="466">
        <f>RANK(N71,($G71,$I71,$J71,$L71,$N71,$O71,$P71,$Q71,$W71,$X71,$Y71,$Z71,$AC71))</f>
        <v>4</v>
      </c>
      <c r="AR71" s="466">
        <f>RANK(O71,($G71,$I71,$J71,$L71,$N71,$O71,$P71,$Q71,$W71,$X71,$Y71,$Z71,$AC71))</f>
        <v>6</v>
      </c>
      <c r="AS71" s="457"/>
      <c r="AT71" s="457"/>
      <c r="AU71" s="457"/>
      <c r="AV71" s="457"/>
      <c r="AW71" s="466">
        <f>RANK(Y71,($G71,$I71,$J71,$L71,$N71,$O71,$P71,$Q71,$W71,$X71,$Y71,$Z71,$AC71))</f>
        <v>8</v>
      </c>
      <c r="AX71" s="466">
        <f>RANK(Z71,($G71,$I71,$J71,$L71,$N71,$O71,$P71,$Q71,$W71,$X71,$Y71,$Z71,$AC71))</f>
        <v>5</v>
      </c>
      <c r="AY71" s="466">
        <f>RANK(AC71,($G71,$I71,$J71,$L71,$N71,$O71,$P71,$Q71,$W71,$X71,$Y71,$Z71,$AC71))</f>
        <v>2</v>
      </c>
      <c r="AZ71" s="460"/>
      <c r="BA71" s="461" t="str">
        <f t="shared" si="9"/>
        <v>otro</v>
      </c>
      <c r="BB71" s="124" t="str">
        <f t="shared" si="10"/>
        <v>PRI-PVEM-NA</v>
      </c>
      <c r="BC71" s="124" t="str">
        <f t="shared" si="11"/>
        <v>PRI-PVEM-NA</v>
      </c>
      <c r="BD71" s="119" t="str">
        <f t="shared" si="12"/>
        <v>otro</v>
      </c>
      <c r="BE71" s="119">
        <f t="shared" si="13"/>
        <v>4413</v>
      </c>
      <c r="BF71" s="119">
        <f t="shared" si="14"/>
        <v>4413</v>
      </c>
      <c r="BG71" s="467">
        <f t="shared" si="15"/>
        <v>0.31127883191084149</v>
      </c>
      <c r="BH71" s="468">
        <f t="shared" si="16"/>
        <v>379</v>
      </c>
      <c r="BI71" s="467">
        <f t="shared" si="16"/>
        <v>2.6733441489736887E-2</v>
      </c>
    </row>
    <row r="72" spans="1:61">
      <c r="A72" s="434">
        <v>65</v>
      </c>
      <c r="B72" s="435" t="s">
        <v>516</v>
      </c>
      <c r="C72" s="436">
        <v>24591</v>
      </c>
      <c r="D72" s="434">
        <v>48</v>
      </c>
      <c r="E72" s="434">
        <v>48</v>
      </c>
      <c r="F72" s="437">
        <f t="shared" si="0"/>
        <v>1</v>
      </c>
      <c r="G72" s="455">
        <v>4435</v>
      </c>
      <c r="H72" s="456">
        <v>5137</v>
      </c>
      <c r="I72" s="456">
        <v>281</v>
      </c>
      <c r="J72" s="456">
        <v>115</v>
      </c>
      <c r="K72" s="456">
        <v>172</v>
      </c>
      <c r="L72" s="456">
        <v>425</v>
      </c>
      <c r="M72" s="456">
        <v>3674</v>
      </c>
      <c r="N72" s="456">
        <v>725</v>
      </c>
      <c r="O72" s="456">
        <v>134</v>
      </c>
      <c r="P72" s="465"/>
      <c r="Q72" s="456">
        <v>42</v>
      </c>
      <c r="R72" s="465"/>
      <c r="S72" s="465"/>
      <c r="T72" s="465"/>
      <c r="U72" s="465"/>
      <c r="V72" s="465"/>
      <c r="W72" s="457"/>
      <c r="X72" s="457"/>
      <c r="Y72" s="456">
        <v>4</v>
      </c>
      <c r="Z72" s="456">
        <v>588</v>
      </c>
      <c r="AA72" s="458">
        <f t="shared" si="1"/>
        <v>15732</v>
      </c>
      <c r="AB72" s="459">
        <f t="shared" si="2"/>
        <v>0.6397462486275467</v>
      </c>
      <c r="AC72" s="470"/>
      <c r="AD72" s="460"/>
      <c r="AE72" s="461" t="str">
        <f t="shared" si="4"/>
        <v>PRI</v>
      </c>
      <c r="AF72" s="462" t="str">
        <f t="shared" si="5"/>
        <v>ninguno</v>
      </c>
      <c r="AG72" s="124" t="str">
        <f t="shared" si="6"/>
        <v>PRI</v>
      </c>
      <c r="AH72" s="119">
        <f t="shared" si="7"/>
        <v>5137</v>
      </c>
      <c r="AI72" s="463">
        <f t="shared" si="8"/>
        <v>0.32653190948385458</v>
      </c>
      <c r="AJ72" s="464">
        <f>RANK(G72,($G72,$H72,$I72,$J72,$K72,$L72,$M72,$N72,$O72,$P72,$Q72,$W72,$X72,$Y72,$Z72))</f>
        <v>2</v>
      </c>
      <c r="AK72" s="466">
        <f>RANK(H72,($G72,$H72,$I72,$J72,$K72,$L72,$M72,$N72,$O72,$P72,$Q72,$W72,$X72,$Y72,$Z72))</f>
        <v>1</v>
      </c>
      <c r="AL72" s="466">
        <f>RANK(I72,($G72,$H72,$I72,$J72,$K72,$L72,$M72,$N72,$O72,$P72,$Q72,$W72,$X72,$Y72,$Z72))</f>
        <v>7</v>
      </c>
      <c r="AM72" s="466">
        <f>RANK(J72,($G72,$H72,$I72,$J72,$K72,$L72,$M72,$N72,$O72,$P72,$Q72,$W72,$X72,$Y72,$Z72))</f>
        <v>10</v>
      </c>
      <c r="AN72" s="466">
        <f>RANK(K72,($G72,$H72,$I72,$J72,$K72,$L72,$M72,$N72,$O72,$P72,$Q72,$W72,$X72,$Y72,$Z72))</f>
        <v>8</v>
      </c>
      <c r="AO72" s="466">
        <f>RANK(L72,($G72,$H72,$I72,$J72,$K72,$L72,$M72,$N72,$O72,$P72,$Q72,$W72,$X72,$Y72,$Z72))</f>
        <v>6</v>
      </c>
      <c r="AP72" s="466">
        <f>RANK(M72,($G72,$H72,$I72,$J72,$K72,$L72,$M72,$N72,$O72,$P72,$Q72,$W72,$X72,$Y72,$Z72))</f>
        <v>3</v>
      </c>
      <c r="AQ72" s="466">
        <f>RANK(N72,($G72,$H72,$I72,$J72,$K72,$L72,$M72,$N72,$O72,$P72,$Q72,$W72,$X72,$Y72,$Z72))</f>
        <v>4</v>
      </c>
      <c r="AR72" s="466">
        <f>RANK(O72,($G72,$H72,$I72,$J72,$K72,$L72,$M72,$N72,$O72,$P72,$Q72,$W72,$X72,$Y72,$Z72))</f>
        <v>9</v>
      </c>
      <c r="AS72" s="457"/>
      <c r="AT72" s="466">
        <f>RANK(Q72,($G72,$H72,$I72,$J72,$K72,$L72,$M72,$N72,$O72,$P72,$Q72,$W72,$X72,$Y72,$Z72))</f>
        <v>11</v>
      </c>
      <c r="AU72" s="457"/>
      <c r="AV72" s="457"/>
      <c r="AW72" s="466">
        <f>RANK(Y72,($G72,$H72,$I72,$J72,$K72,$L72,$M72,$N72,$O72,$P72,$Q72,$W72,$X72,$Y72,$Z72))</f>
        <v>12</v>
      </c>
      <c r="AX72" s="466">
        <f>RANK(Z72,($G72,$H72,$I72,$J72,$K72,$L72,$M72,$N72,$O72,$P72,$Q72,$W72,$X72,$Y72,$Z72))</f>
        <v>5</v>
      </c>
      <c r="AY72" s="465"/>
      <c r="AZ72" s="460"/>
      <c r="BA72" s="461" t="str">
        <f t="shared" si="9"/>
        <v>PAN</v>
      </c>
      <c r="BB72" s="124" t="str">
        <f t="shared" si="10"/>
        <v>ninguno</v>
      </c>
      <c r="BC72" s="124" t="str">
        <f t="shared" si="11"/>
        <v>PAN</v>
      </c>
      <c r="BD72" s="119">
        <f t="shared" si="12"/>
        <v>4435</v>
      </c>
      <c r="BE72" s="119" t="str">
        <f t="shared" si="13"/>
        <v>ninguno</v>
      </c>
      <c r="BF72" s="119">
        <f t="shared" si="14"/>
        <v>4435</v>
      </c>
      <c r="BG72" s="467">
        <f t="shared" si="15"/>
        <v>0.28190948385456394</v>
      </c>
      <c r="BH72" s="468">
        <f t="shared" si="16"/>
        <v>702</v>
      </c>
      <c r="BI72" s="467">
        <f t="shared" si="16"/>
        <v>4.4622425629290641E-2</v>
      </c>
    </row>
    <row r="73" spans="1:61">
      <c r="A73" s="434">
        <v>66</v>
      </c>
      <c r="B73" s="435" t="s">
        <v>85</v>
      </c>
      <c r="C73" s="436">
        <v>24303</v>
      </c>
      <c r="D73" s="434">
        <v>43</v>
      </c>
      <c r="E73" s="434">
        <v>43</v>
      </c>
      <c r="F73" s="437">
        <f t="shared" ref="F73:F133" si="17">E73/D73</f>
        <v>1</v>
      </c>
      <c r="G73" s="455">
        <v>3105</v>
      </c>
      <c r="H73" s="456">
        <v>5088</v>
      </c>
      <c r="I73" s="456">
        <v>1277</v>
      </c>
      <c r="J73" s="456">
        <v>6052</v>
      </c>
      <c r="K73" s="456">
        <v>72</v>
      </c>
      <c r="L73" s="457"/>
      <c r="M73" s="456">
        <v>42</v>
      </c>
      <c r="N73" s="456">
        <v>110</v>
      </c>
      <c r="O73" s="456">
        <v>40</v>
      </c>
      <c r="P73" s="456">
        <v>118</v>
      </c>
      <c r="Q73" s="456">
        <v>21</v>
      </c>
      <c r="R73" s="456">
        <v>12</v>
      </c>
      <c r="S73" s="456">
        <v>42</v>
      </c>
      <c r="T73" s="456">
        <v>4</v>
      </c>
      <c r="U73" s="456">
        <v>1</v>
      </c>
      <c r="V73" s="465"/>
      <c r="W73" s="457"/>
      <c r="X73" s="457"/>
      <c r="Y73" s="456">
        <v>11</v>
      </c>
      <c r="Z73" s="456">
        <v>315</v>
      </c>
      <c r="AA73" s="458">
        <f t="shared" ref="AA73:AA132" si="18">SUM(G73:Z73)</f>
        <v>16310</v>
      </c>
      <c r="AB73" s="459">
        <f t="shared" ref="AB73:AB132" si="19">AA73/C73</f>
        <v>0.67111056248199807</v>
      </c>
      <c r="AC73" s="455">
        <f t="shared" ref="AC73:AC132" si="20">H73+K73+M73+SUM(R73:U73)</f>
        <v>5261</v>
      </c>
      <c r="AD73" s="460"/>
      <c r="AE73" s="461" t="str">
        <f t="shared" ref="AE73:AE132" si="21">IF(AJ73=1,$G$7,IF(AK73=1,$H$7,IF(AL73=1,$I$7,IF(AM73=1,$J$7,IF(AN73=1,$K$7,IF(AO73=1,$L$7,IF(AP73=1,$M$7,IF(AQ73=1,$N$7,"otro"))))))))</f>
        <v>PT</v>
      </c>
      <c r="AF73" s="462" t="str">
        <f t="shared" ref="AF73:AF132" si="22">IF(AR73=1,$O$7,IF(AS73=1,$P$7,IF(AT73=1,$Q$7,IF(AU73=1,$W$7,IF(AV73=1,$X$7,IF(AX73=1,$Z$7,IF(AY73=1,$AC$7,IF(AZ73=1,$AD$7,"ninguno"))))))))</f>
        <v>ninguno</v>
      </c>
      <c r="AG73" s="124" t="str">
        <f t="shared" ref="AG73:AG132" si="23">IF(AE73="otro",IF(AF73="ninguno","nada",AF73),AE73)</f>
        <v>PT</v>
      </c>
      <c r="AH73" s="119">
        <f t="shared" ref="AH73:AH132" si="24">MAX(G73:Z73,AC73,AD73)</f>
        <v>6052</v>
      </c>
      <c r="AI73" s="463">
        <f t="shared" ref="AI73:AI132" si="25">AH73/AA73</f>
        <v>0.37106069895769467</v>
      </c>
      <c r="AJ73" s="464">
        <f>RANK(G73,($G73,$I73,$J73,$L73,$N73,$O73,$P73,$Q73,$W73,$X73,$Y73,$Z73,$AC73))</f>
        <v>3</v>
      </c>
      <c r="AK73" s="465"/>
      <c r="AL73" s="466">
        <f>RANK(I73,($G73,$I73,$J73,$L73,$N73,$O73,$P73,$Q73,$W73,$X73,$Y73,$Z73,$AC73))</f>
        <v>4</v>
      </c>
      <c r="AM73" s="466">
        <f>RANK(J73,($G73,$I73,$J73,$L73,$N73,$O73,$P73,$Q73,$W73,$X73,$Y73,$Z73,$AC73))</f>
        <v>1</v>
      </c>
      <c r="AN73" s="457"/>
      <c r="AO73" s="457"/>
      <c r="AP73" s="457"/>
      <c r="AQ73" s="466">
        <f>RANK(N73,($G73,$I73,$J73,$L73,$N73,$O73,$P73,$Q73,$W73,$X73,$Y73,$Z73,$AC73))</f>
        <v>7</v>
      </c>
      <c r="AR73" s="466">
        <f>RANK(O73,($G73,$I73,$J73,$L73,$N73,$O73,$P73,$Q73,$W73,$X73,$Y73,$Z73,$AC73))</f>
        <v>8</v>
      </c>
      <c r="AS73" s="466">
        <f>RANK(P73,($G73,$I73,$J73,$L73,$N73,$O73,$P73,$Q73,$W73,$X73,$Y73,$Z73,$AC73))</f>
        <v>6</v>
      </c>
      <c r="AT73" s="466">
        <f>RANK(Q73,($G73,$I73,$J73,$L73,$N73,$O73,$P73,$Q73,$W73,$X73,$Y73,$Z73,$AC73))</f>
        <v>9</v>
      </c>
      <c r="AU73" s="457"/>
      <c r="AV73" s="457"/>
      <c r="AW73" s="466">
        <f>RANK(Y73,($G73,$I73,$J73,$L73,$N73,$O73,$P73,$Q73,$W73,$X73,$Y73,$Z73,$AC73))</f>
        <v>10</v>
      </c>
      <c r="AX73" s="466">
        <f>RANK(Z73,($G73,$I73,$J73,$L73,$N73,$O73,$P73,$Q73,$W73,$X73,$Y73,$Z73,$AC73))</f>
        <v>5</v>
      </c>
      <c r="AY73" s="466">
        <f>RANK(AC73,($G73,$I73,$J73,$L73,$N73,$O73,$P73,$Q73,$W73,$X73,$Y73,$Z73,$AC73))</f>
        <v>2</v>
      </c>
      <c r="AZ73" s="460"/>
      <c r="BA73" s="461" t="str">
        <f t="shared" ref="BA73:BA132" si="26">IF(AJ73=2,$G$7,IF(AK73=2,$H$7,IF(AL73=2,$I$7,IF(AM73=2,$J$7,IF(AN73=2,$K$7,IF(AO73=2,$L$7,IF(AP73=2,$M$7,IF(AQ73=2,$N$7,"otro"))))))))</f>
        <v>otro</v>
      </c>
      <c r="BB73" s="124" t="str">
        <f t="shared" ref="BB73:BB132" si="27">IF(AR73=2,$O$7,IF(AS73=2,$P$7,IF(AT73=2,$Q$7,IF(AU73=2,$W$7,IF(AV73=2,$X$7,IF(AX73=2,$Z$7,IF(AY73=2,$AC$7,IF(AZ73=2,$AD$7,"ninguno"))))))))</f>
        <v>PRI-PVEM-NA</v>
      </c>
      <c r="BC73" s="124" t="str">
        <f t="shared" ref="BC73:BC132" si="28">IF(BA73="otro",IF(BB73="ninguno","nada",BB73),BA73)</f>
        <v>PRI-PVEM-NA</v>
      </c>
      <c r="BD73" s="119" t="str">
        <f t="shared" ref="BD73:BD132" si="29">IF(AJ73=2,G73,IF(AK73=2,H73,IF(AL73=2,I73,IF(AM73=2,J73,IF(AN73=2,K73,IF(AO73=2,L73,IF(AP73=2,M73,IF(AQ73=2,N73,"otro"))))))))</f>
        <v>otro</v>
      </c>
      <c r="BE73" s="119">
        <f t="shared" ref="BE73:BE132" si="30">IF(AR73=2,O73,IF(AS73=2,P73,IF(AT73=2,Q73,IF(AU73=2,W73,IF(AV73=2,X73,IF(AX73=2,Z73,IF(AY73=2,AC73,IF(AZ73=2,AD73,"ninguno"))))))))</f>
        <v>5261</v>
      </c>
      <c r="BF73" s="119">
        <f t="shared" ref="BF73:BF132" si="31">IF(BD73="otro",IF(BE73="ninguno","nada",BE73),BD73)</f>
        <v>5261</v>
      </c>
      <c r="BG73" s="467">
        <f t="shared" ref="BG73:BG132" si="32">BF73/AA73</f>
        <v>0.32256284488044146</v>
      </c>
      <c r="BH73" s="468">
        <f t="shared" ref="BH73:BI132" si="33">AH73-BF73</f>
        <v>791</v>
      </c>
      <c r="BI73" s="467">
        <f t="shared" si="33"/>
        <v>4.8497854077253211E-2</v>
      </c>
    </row>
    <row r="74" spans="1:61">
      <c r="A74" s="434">
        <v>67</v>
      </c>
      <c r="B74" s="435" t="s">
        <v>86</v>
      </c>
      <c r="C74" s="436">
        <v>3922</v>
      </c>
      <c r="D74" s="434">
        <v>10</v>
      </c>
      <c r="E74" s="434">
        <v>10</v>
      </c>
      <c r="F74" s="437">
        <f t="shared" si="17"/>
        <v>1</v>
      </c>
      <c r="G74" s="455">
        <v>9</v>
      </c>
      <c r="H74" s="456">
        <v>1782</v>
      </c>
      <c r="I74" s="456">
        <v>1457</v>
      </c>
      <c r="J74" s="456">
        <v>2</v>
      </c>
      <c r="K74" s="456">
        <v>8</v>
      </c>
      <c r="L74" s="457"/>
      <c r="M74" s="456">
        <v>21</v>
      </c>
      <c r="N74" s="456">
        <v>0</v>
      </c>
      <c r="O74" s="465"/>
      <c r="P74" s="465"/>
      <c r="Q74" s="465"/>
      <c r="R74" s="456">
        <v>0</v>
      </c>
      <c r="S74" s="456">
        <v>6</v>
      </c>
      <c r="T74" s="456">
        <v>5</v>
      </c>
      <c r="U74" s="456">
        <v>0</v>
      </c>
      <c r="V74" s="465"/>
      <c r="W74" s="457"/>
      <c r="X74" s="457"/>
      <c r="Y74" s="456">
        <v>0</v>
      </c>
      <c r="Z74" s="456">
        <v>47</v>
      </c>
      <c r="AA74" s="458">
        <f t="shared" si="18"/>
        <v>3337</v>
      </c>
      <c r="AB74" s="459">
        <f t="shared" si="19"/>
        <v>0.850841407445181</v>
      </c>
      <c r="AC74" s="455">
        <f t="shared" si="20"/>
        <v>1822</v>
      </c>
      <c r="AD74" s="460"/>
      <c r="AE74" s="461" t="str">
        <f t="shared" si="21"/>
        <v>otro</v>
      </c>
      <c r="AF74" s="462" t="str">
        <f t="shared" si="22"/>
        <v>PRI-PVEM-NA</v>
      </c>
      <c r="AG74" s="124" t="str">
        <f t="shared" si="23"/>
        <v>PRI-PVEM-NA</v>
      </c>
      <c r="AH74" s="119">
        <f t="shared" si="24"/>
        <v>1822</v>
      </c>
      <c r="AI74" s="463">
        <f t="shared" si="25"/>
        <v>0.54599940065927477</v>
      </c>
      <c r="AJ74" s="464">
        <f>RANK(G74,($G74,$I74,$J74,$L74,$N74,$O74,$P74,$Q74,$W74,$X74,$Y74,$Z74,$AC74))</f>
        <v>4</v>
      </c>
      <c r="AK74" s="465"/>
      <c r="AL74" s="466">
        <f>RANK(I74,($G74,$I74,$J74,$L74,$N74,$O74,$P74,$Q74,$W74,$X74,$Y74,$Z74,$AC74))</f>
        <v>2</v>
      </c>
      <c r="AM74" s="466">
        <f>RANK(J74,($G74,$I74,$J74,$L74,$N74,$O74,$P74,$Q74,$W74,$X74,$Y74,$Z74,$AC74))</f>
        <v>5</v>
      </c>
      <c r="AN74" s="457"/>
      <c r="AO74" s="457"/>
      <c r="AP74" s="457"/>
      <c r="AQ74" s="466">
        <f>RANK(N74,($G74,$I74,$J74,$L74,$N74,$O74,$P74,$Q74,$W74,$X74,$Y74,$Z74,$AC74))</f>
        <v>6</v>
      </c>
      <c r="AR74" s="457"/>
      <c r="AS74" s="457"/>
      <c r="AT74" s="457"/>
      <c r="AU74" s="457"/>
      <c r="AV74" s="457"/>
      <c r="AW74" s="466">
        <f>RANK(Y74,($G74,$I74,$J74,$L74,$N74,$O74,$P74,$Q74,$W74,$X74,$Y74,$Z74,$AC74))</f>
        <v>6</v>
      </c>
      <c r="AX74" s="466">
        <f>RANK(Z74,($G74,$I74,$J74,$L74,$N74,$O74,$P74,$Q74,$W74,$X74,$Y74,$Z74,$AC74))</f>
        <v>3</v>
      </c>
      <c r="AY74" s="466">
        <f>RANK(AC74,($G74,$I74,$J74,$L74,$N74,$O74,$P74,$Q74,$W74,$X74,$Y74,$Z74,$AC74))</f>
        <v>1</v>
      </c>
      <c r="AZ74" s="460"/>
      <c r="BA74" s="461" t="str">
        <f t="shared" si="26"/>
        <v>PRD</v>
      </c>
      <c r="BB74" s="124" t="str">
        <f t="shared" si="27"/>
        <v>ninguno</v>
      </c>
      <c r="BC74" s="124" t="str">
        <f t="shared" si="28"/>
        <v>PRD</v>
      </c>
      <c r="BD74" s="119">
        <f t="shared" si="29"/>
        <v>1457</v>
      </c>
      <c r="BE74" s="119" t="str">
        <f t="shared" si="30"/>
        <v>ninguno</v>
      </c>
      <c r="BF74" s="119">
        <f t="shared" si="31"/>
        <v>1457</v>
      </c>
      <c r="BG74" s="467">
        <f t="shared" si="32"/>
        <v>0.43661971830985913</v>
      </c>
      <c r="BH74" s="468">
        <f t="shared" si="33"/>
        <v>365</v>
      </c>
      <c r="BI74" s="467">
        <f t="shared" si="33"/>
        <v>0.10937968234941564</v>
      </c>
    </row>
    <row r="75" spans="1:61">
      <c r="A75" s="434">
        <v>68</v>
      </c>
      <c r="B75" s="435" t="s">
        <v>87</v>
      </c>
      <c r="C75" s="436">
        <v>50540</v>
      </c>
      <c r="D75" s="434">
        <v>82</v>
      </c>
      <c r="E75" s="434">
        <v>82</v>
      </c>
      <c r="F75" s="437">
        <f t="shared" si="17"/>
        <v>1</v>
      </c>
      <c r="G75" s="455">
        <v>9153</v>
      </c>
      <c r="H75" s="456">
        <v>10640</v>
      </c>
      <c r="I75" s="456">
        <v>1025</v>
      </c>
      <c r="J75" s="456">
        <v>830</v>
      </c>
      <c r="K75" s="456">
        <v>572</v>
      </c>
      <c r="L75" s="456">
        <v>1710</v>
      </c>
      <c r="M75" s="456">
        <v>468</v>
      </c>
      <c r="N75" s="456">
        <v>2356</v>
      </c>
      <c r="O75" s="456">
        <v>585</v>
      </c>
      <c r="P75" s="456">
        <v>426</v>
      </c>
      <c r="Q75" s="456">
        <v>422</v>
      </c>
      <c r="R75" s="465"/>
      <c r="S75" s="465"/>
      <c r="T75" s="465"/>
      <c r="U75" s="465"/>
      <c r="V75" s="456">
        <v>117</v>
      </c>
      <c r="W75" s="457"/>
      <c r="X75" s="457"/>
      <c r="Y75" s="456">
        <v>10</v>
      </c>
      <c r="Z75" s="456">
        <v>867</v>
      </c>
      <c r="AA75" s="458">
        <f t="shared" si="18"/>
        <v>29181</v>
      </c>
      <c r="AB75" s="459">
        <f t="shared" si="19"/>
        <v>0.57738425009893157</v>
      </c>
      <c r="AC75" s="470"/>
      <c r="AD75" s="458">
        <f>G75+J75+V75</f>
        <v>10100</v>
      </c>
      <c r="AE75" s="461" t="str">
        <f t="shared" si="21"/>
        <v>PRI</v>
      </c>
      <c r="AF75" s="462" t="str">
        <f t="shared" si="22"/>
        <v>ninguno</v>
      </c>
      <c r="AG75" s="124" t="str">
        <f t="shared" si="23"/>
        <v>PRI</v>
      </c>
      <c r="AH75" s="119">
        <f t="shared" si="24"/>
        <v>10640</v>
      </c>
      <c r="AI75" s="463">
        <f t="shared" si="25"/>
        <v>0.36462081491381376</v>
      </c>
      <c r="AJ75" s="470"/>
      <c r="AK75" s="466">
        <f>RANK(H75,($H75,$I75,$K75,$L75,$M75,$N75,$O75,$P75,$Q75,$W75,$X75,$Y75,$Z75,$AC75,$AD75))</f>
        <v>1</v>
      </c>
      <c r="AL75" s="466">
        <f>RANK(I75,($H75,$I75,$K75,$L75,$M75,$N75,$O75,$P75,$Q75,$W75,$X75,$Y75,$Z75,$AC75,$AD75))</f>
        <v>5</v>
      </c>
      <c r="AM75" s="465"/>
      <c r="AN75" s="466">
        <f>RANK(K75,($H75,$I75,$K75,$L75,$M75,$N75,$O75,$P75,$Q75,$W75,$X75,$Y75,$Z75,$AC75,$AD75))</f>
        <v>8</v>
      </c>
      <c r="AO75" s="466">
        <f>RANK(L75,($H75,$I75,$K75,$L75,$M75,$N75,$O75,$P75,$Q75,$W75,$X75,$Y75,$Z75,$AC75,$AD75))</f>
        <v>4</v>
      </c>
      <c r="AP75" s="466">
        <f>RANK(M75,($H75,$I75,$K75,$L75,$M75,$N75,$O75,$P75,$Q75,$W75,$X75,$Y75,$Z75,$AC75,$AD75))</f>
        <v>9</v>
      </c>
      <c r="AQ75" s="466">
        <f>RANK(N75,($H75,$I75,$K75,$L75,$M75,$N75,$O75,$P75,$Q75,$W75,$X75,$Y75,$Z75,$AC75,$AD75))</f>
        <v>3</v>
      </c>
      <c r="AR75" s="466">
        <f>RANK(O75,($H75,$I75,$K75,$L75,$M75,$N75,$O75,$P75,$Q75,$W75,$X75,$Y75,$Z75,$AC75,$AD75))</f>
        <v>7</v>
      </c>
      <c r="AS75" s="466">
        <f>RANK(P75,($H75,$I75,$K75,$L75,$M75,$N75,$O75,$P75,$Q75,$W75,$X75,$Y75,$Z75,$AC75,$AD75))</f>
        <v>10</v>
      </c>
      <c r="AT75" s="466">
        <f>RANK(Q75,($H75,$I75,$K75,$L75,$M75,$N75,$O75,$P75,$Q75,$W75,$X75,$Y75,$Z75,$AC75,$AD75))</f>
        <v>11</v>
      </c>
      <c r="AU75" s="457"/>
      <c r="AV75" s="457"/>
      <c r="AW75" s="466">
        <f>RANK(Y75,($H75,$I75,$K75,$L75,$M75,$N75,$O75,$P75,$Q75,$W75,$X75,$Y75,$Z75,$AC75,$AD75))</f>
        <v>12</v>
      </c>
      <c r="AX75" s="466">
        <f>RANK(Z75,($H75,$I75,$K75,$L75,$M75,$N75,$O75,$P75,$Q75,$W75,$X75,$Y75,$Z75,$AC75,$AD75))</f>
        <v>6</v>
      </c>
      <c r="AY75" s="465"/>
      <c r="AZ75" s="471">
        <f>RANK(AD75,($H75,$I75,$K75,$L75,$M75,$N75,$O75,$P75,$Q75,$W75,$X75,$Y75,$Z75,$AC75,$AD75))</f>
        <v>2</v>
      </c>
      <c r="BA75" s="461" t="str">
        <f t="shared" si="26"/>
        <v>otro</v>
      </c>
      <c r="BB75" s="124" t="str">
        <f t="shared" si="27"/>
        <v>PAN-PT</v>
      </c>
      <c r="BC75" s="124" t="str">
        <f t="shared" si="28"/>
        <v>PAN-PT</v>
      </c>
      <c r="BD75" s="119" t="str">
        <f t="shared" si="29"/>
        <v>otro</v>
      </c>
      <c r="BE75" s="119">
        <f t="shared" si="30"/>
        <v>10100</v>
      </c>
      <c r="BF75" s="119">
        <f t="shared" si="31"/>
        <v>10100</v>
      </c>
      <c r="BG75" s="467">
        <f t="shared" si="32"/>
        <v>0.34611562317946609</v>
      </c>
      <c r="BH75" s="468">
        <f t="shared" si="33"/>
        <v>540</v>
      </c>
      <c r="BI75" s="467">
        <f t="shared" si="33"/>
        <v>1.850519173434767E-2</v>
      </c>
    </row>
    <row r="76" spans="1:61">
      <c r="A76" s="434">
        <v>69</v>
      </c>
      <c r="B76" s="435" t="s">
        <v>88</v>
      </c>
      <c r="C76" s="436">
        <v>18236</v>
      </c>
      <c r="D76" s="434">
        <v>30</v>
      </c>
      <c r="E76" s="434">
        <v>30</v>
      </c>
      <c r="F76" s="437">
        <f t="shared" si="17"/>
        <v>1</v>
      </c>
      <c r="G76" s="455">
        <v>3866</v>
      </c>
      <c r="H76" s="456">
        <v>3486</v>
      </c>
      <c r="I76" s="456">
        <v>196</v>
      </c>
      <c r="J76" s="456">
        <v>141</v>
      </c>
      <c r="K76" s="456">
        <v>109</v>
      </c>
      <c r="L76" s="456">
        <v>697</v>
      </c>
      <c r="M76" s="456">
        <v>247</v>
      </c>
      <c r="N76" s="456">
        <v>1545</v>
      </c>
      <c r="O76" s="456">
        <v>186</v>
      </c>
      <c r="P76" s="456">
        <v>486</v>
      </c>
      <c r="Q76" s="456">
        <v>587</v>
      </c>
      <c r="R76" s="465"/>
      <c r="S76" s="465"/>
      <c r="T76" s="465"/>
      <c r="U76" s="465"/>
      <c r="V76" s="456">
        <v>17</v>
      </c>
      <c r="W76" s="457"/>
      <c r="X76" s="457"/>
      <c r="Y76" s="456">
        <v>24</v>
      </c>
      <c r="Z76" s="456">
        <v>287</v>
      </c>
      <c r="AA76" s="458">
        <f t="shared" si="18"/>
        <v>11874</v>
      </c>
      <c r="AB76" s="459">
        <f t="shared" si="19"/>
        <v>0.65112963369159904</v>
      </c>
      <c r="AC76" s="470"/>
      <c r="AD76" s="458">
        <f>G76+J76+V76</f>
        <v>4024</v>
      </c>
      <c r="AE76" s="461" t="str">
        <f t="shared" si="21"/>
        <v>otro</v>
      </c>
      <c r="AF76" s="462" t="str">
        <f t="shared" si="22"/>
        <v>PAN-PT</v>
      </c>
      <c r="AG76" s="124" t="str">
        <f t="shared" si="23"/>
        <v>PAN-PT</v>
      </c>
      <c r="AH76" s="119">
        <f t="shared" si="24"/>
        <v>4024</v>
      </c>
      <c r="AI76" s="463">
        <f t="shared" si="25"/>
        <v>0.3388916961428331</v>
      </c>
      <c r="AJ76" s="470"/>
      <c r="AK76" s="466">
        <f>RANK(H76,($H76,$I76,$K76,$L76,$M76,$N76,$O76,$P76,$Q76,$W76,$X76,$Y76,$Z76,$AC76,$AD76))</f>
        <v>2</v>
      </c>
      <c r="AL76" s="466">
        <f>RANK(I76,($H76,$I76,$K76,$L76,$M76,$N76,$O76,$P76,$Q76,$W76,$X76,$Y76,$Z76,$AC76,$AD76))</f>
        <v>9</v>
      </c>
      <c r="AM76" s="465"/>
      <c r="AN76" s="466">
        <f>RANK(K76,($H76,$I76,$K76,$L76,$M76,$N76,$O76,$P76,$Q76,$W76,$X76,$Y76,$Z76,$AC76,$AD76))</f>
        <v>11</v>
      </c>
      <c r="AO76" s="466">
        <f>RANK(L76,($H76,$I76,$K76,$L76,$M76,$N76,$O76,$P76,$Q76,$W76,$X76,$Y76,$Z76,$AC76,$AD76))</f>
        <v>4</v>
      </c>
      <c r="AP76" s="466">
        <f>RANK(M76,($H76,$I76,$K76,$L76,$M76,$N76,$O76,$P76,$Q76,$W76,$X76,$Y76,$Z76,$AC76,$AD76))</f>
        <v>8</v>
      </c>
      <c r="AQ76" s="466">
        <f>RANK(N76,($H76,$I76,$K76,$L76,$M76,$N76,$O76,$P76,$Q76,$W76,$X76,$Y76,$Z76,$AC76,$AD76))</f>
        <v>3</v>
      </c>
      <c r="AR76" s="466">
        <f>RANK(O76,($H76,$I76,$K76,$L76,$M76,$N76,$O76,$P76,$Q76,$W76,$X76,$Y76,$Z76,$AC76,$AD76))</f>
        <v>10</v>
      </c>
      <c r="AS76" s="466">
        <f>RANK(P76,($H76,$I76,$K76,$L76,$M76,$N76,$O76,$P76,$Q76,$W76,$X76,$Y76,$Z76,$AC76,$AD76))</f>
        <v>6</v>
      </c>
      <c r="AT76" s="466">
        <f>RANK(Q76,($H76,$I76,$K76,$L76,$M76,$N76,$O76,$P76,$Q76,$W76,$X76,$Y76,$Z76,$AC76,$AD76))</f>
        <v>5</v>
      </c>
      <c r="AU76" s="457"/>
      <c r="AV76" s="457"/>
      <c r="AW76" s="466">
        <f>RANK(Y76,($H76,$I76,$K76,$L76,$M76,$N76,$O76,$P76,$Q76,$W76,$X76,$Y76,$Z76,$AC76,$AD76))</f>
        <v>12</v>
      </c>
      <c r="AX76" s="466">
        <f>RANK(Z76,($H76,$I76,$K76,$L76,$M76,$N76,$O76,$P76,$Q76,$W76,$X76,$Y76,$Z76,$AC76,$AD76))</f>
        <v>7</v>
      </c>
      <c r="AY76" s="465"/>
      <c r="AZ76" s="471">
        <f>RANK(AD76,($H76,$I76,$K76,$L76,$M76,$N76,$O76,$P76,$Q76,$W76,$X76,$Y76,$Z76,$AC76,$AD76))</f>
        <v>1</v>
      </c>
      <c r="BA76" s="461" t="str">
        <f t="shared" si="26"/>
        <v>PRI</v>
      </c>
      <c r="BB76" s="124" t="str">
        <f t="shared" si="27"/>
        <v>ninguno</v>
      </c>
      <c r="BC76" s="124" t="str">
        <f t="shared" si="28"/>
        <v>PRI</v>
      </c>
      <c r="BD76" s="119">
        <f t="shared" si="29"/>
        <v>3486</v>
      </c>
      <c r="BE76" s="119" t="str">
        <f t="shared" si="30"/>
        <v>ninguno</v>
      </c>
      <c r="BF76" s="119">
        <f t="shared" si="31"/>
        <v>3486</v>
      </c>
      <c r="BG76" s="467">
        <f t="shared" si="32"/>
        <v>0.29358261748357756</v>
      </c>
      <c r="BH76" s="468">
        <f t="shared" si="33"/>
        <v>538</v>
      </c>
      <c r="BI76" s="467">
        <f t="shared" si="33"/>
        <v>4.5309078659255542E-2</v>
      </c>
    </row>
    <row r="77" spans="1:61">
      <c r="A77" s="434">
        <v>70</v>
      </c>
      <c r="B77" s="435" t="s">
        <v>89</v>
      </c>
      <c r="C77" s="436">
        <v>3561</v>
      </c>
      <c r="D77" s="434">
        <v>6</v>
      </c>
      <c r="E77" s="434">
        <v>6</v>
      </c>
      <c r="F77" s="437">
        <f t="shared" si="17"/>
        <v>1</v>
      </c>
      <c r="G77" s="455">
        <v>911</v>
      </c>
      <c r="H77" s="456">
        <v>1092</v>
      </c>
      <c r="I77" s="456">
        <v>81</v>
      </c>
      <c r="J77" s="456">
        <v>333</v>
      </c>
      <c r="K77" s="456">
        <v>5</v>
      </c>
      <c r="L77" s="456">
        <v>79</v>
      </c>
      <c r="M77" s="456">
        <v>7</v>
      </c>
      <c r="N77" s="456">
        <v>95</v>
      </c>
      <c r="O77" s="465"/>
      <c r="P77" s="456">
        <v>123</v>
      </c>
      <c r="Q77" s="465"/>
      <c r="R77" s="456">
        <v>1</v>
      </c>
      <c r="S77" s="456">
        <v>6</v>
      </c>
      <c r="T77" s="456">
        <v>0</v>
      </c>
      <c r="U77" s="456">
        <v>0</v>
      </c>
      <c r="V77" s="465"/>
      <c r="W77" s="457"/>
      <c r="X77" s="457"/>
      <c r="Y77" s="456">
        <v>2</v>
      </c>
      <c r="Z77" s="456">
        <v>25</v>
      </c>
      <c r="AA77" s="458">
        <f t="shared" si="18"/>
        <v>2760</v>
      </c>
      <c r="AB77" s="459">
        <f t="shared" si="19"/>
        <v>0.77506318449873635</v>
      </c>
      <c r="AC77" s="455">
        <f t="shared" si="20"/>
        <v>1111</v>
      </c>
      <c r="AD77" s="460"/>
      <c r="AE77" s="461" t="str">
        <f t="shared" si="21"/>
        <v>otro</v>
      </c>
      <c r="AF77" s="462" t="str">
        <f t="shared" si="22"/>
        <v>PRI-PVEM-NA</v>
      </c>
      <c r="AG77" s="124" t="str">
        <f t="shared" si="23"/>
        <v>PRI-PVEM-NA</v>
      </c>
      <c r="AH77" s="119">
        <f t="shared" si="24"/>
        <v>1111</v>
      </c>
      <c r="AI77" s="463">
        <f t="shared" si="25"/>
        <v>0.40253623188405796</v>
      </c>
      <c r="AJ77" s="464">
        <f>RANK(G77,($G77,$I77,$J77,$L77,$N77,$O77,$P77,$Q77,$W77,$X77,$Y77,$Z77,$AC77))</f>
        <v>2</v>
      </c>
      <c r="AK77" s="465"/>
      <c r="AL77" s="466">
        <f>RANK(I77,($G77,$I77,$J77,$L77,$N77,$O77,$P77,$Q77,$W77,$X77,$Y77,$Z77,$AC77))</f>
        <v>6</v>
      </c>
      <c r="AM77" s="466">
        <f>RANK(J77,($G77,$I77,$J77,$L77,$N77,$O77,$P77,$Q77,$W77,$X77,$Y77,$Z77,$AC77))</f>
        <v>3</v>
      </c>
      <c r="AN77" s="457"/>
      <c r="AO77" s="466">
        <f>RANK(L77,($G77,$I77,$J77,$L77,$N77,$O77,$P77,$Q77,$W77,$X77,$Y77,$Z77,$AC77))</f>
        <v>7</v>
      </c>
      <c r="AP77" s="457"/>
      <c r="AQ77" s="466">
        <f>RANK(N77,($G77,$I77,$J77,$L77,$N77,$O77,$P77,$Q77,$W77,$X77,$Y77,$Z77,$AC77))</f>
        <v>5</v>
      </c>
      <c r="AR77" s="457"/>
      <c r="AS77" s="466">
        <f>RANK(P77,($G77,$I77,$J77,$L77,$N77,$O77,$P77,$Q77,$W77,$X77,$Y77,$Z77,$AC77))</f>
        <v>4</v>
      </c>
      <c r="AT77" s="457"/>
      <c r="AU77" s="457"/>
      <c r="AV77" s="457"/>
      <c r="AW77" s="466">
        <f>RANK(Y77,($G77,$I77,$J77,$L77,$N77,$O77,$P77,$Q77,$W77,$X77,$Y77,$Z77,$AC77))</f>
        <v>9</v>
      </c>
      <c r="AX77" s="466">
        <f>RANK(Z77,($G77,$I77,$J77,$L77,$N77,$O77,$P77,$Q77,$W77,$X77,$Y77,$Z77,$AC77))</f>
        <v>8</v>
      </c>
      <c r="AY77" s="466">
        <f>RANK(AC77,($G77,$I77,$J77,$L77,$N77,$O77,$P77,$Q77,$W77,$X77,$Y77,$Z77,$AC77))</f>
        <v>1</v>
      </c>
      <c r="AZ77" s="460"/>
      <c r="BA77" s="461" t="str">
        <f t="shared" si="26"/>
        <v>PAN</v>
      </c>
      <c r="BB77" s="124" t="str">
        <f t="shared" si="27"/>
        <v>ninguno</v>
      </c>
      <c r="BC77" s="124" t="str">
        <f t="shared" si="28"/>
        <v>PAN</v>
      </c>
      <c r="BD77" s="119">
        <f t="shared" si="29"/>
        <v>911</v>
      </c>
      <c r="BE77" s="119" t="str">
        <f t="shared" si="30"/>
        <v>ninguno</v>
      </c>
      <c r="BF77" s="119">
        <f t="shared" si="31"/>
        <v>911</v>
      </c>
      <c r="BG77" s="467">
        <f t="shared" si="32"/>
        <v>0.33007246376811594</v>
      </c>
      <c r="BH77" s="468">
        <f t="shared" si="33"/>
        <v>200</v>
      </c>
      <c r="BI77" s="467">
        <f t="shared" si="33"/>
        <v>7.2463768115942018E-2</v>
      </c>
    </row>
    <row r="78" spans="1:61">
      <c r="A78" s="434">
        <v>71</v>
      </c>
      <c r="B78" s="435" t="s">
        <v>540</v>
      </c>
      <c r="C78" s="436">
        <v>177081</v>
      </c>
      <c r="D78" s="434">
        <v>280</v>
      </c>
      <c r="E78" s="434">
        <v>280</v>
      </c>
      <c r="F78" s="437">
        <f t="shared" si="17"/>
        <v>1</v>
      </c>
      <c r="G78" s="455">
        <v>2882</v>
      </c>
      <c r="H78" s="456">
        <v>34450</v>
      </c>
      <c r="I78" s="456">
        <v>18672</v>
      </c>
      <c r="J78" s="456">
        <v>2840</v>
      </c>
      <c r="K78" s="456">
        <v>1740</v>
      </c>
      <c r="L78" s="456">
        <v>2168</v>
      </c>
      <c r="M78" s="456">
        <v>1495</v>
      </c>
      <c r="N78" s="456">
        <v>8680</v>
      </c>
      <c r="O78" s="456">
        <v>1452</v>
      </c>
      <c r="P78" s="456">
        <v>2556</v>
      </c>
      <c r="Q78" s="456">
        <v>301</v>
      </c>
      <c r="R78" s="456">
        <v>252</v>
      </c>
      <c r="S78" s="456">
        <v>528</v>
      </c>
      <c r="T78" s="456">
        <v>23</v>
      </c>
      <c r="U78" s="456">
        <v>13</v>
      </c>
      <c r="V78" s="465"/>
      <c r="W78" s="457"/>
      <c r="X78" s="457"/>
      <c r="Y78" s="456">
        <v>79</v>
      </c>
      <c r="Z78" s="456">
        <v>3117</v>
      </c>
      <c r="AA78" s="458">
        <f t="shared" si="18"/>
        <v>81248</v>
      </c>
      <c r="AB78" s="459">
        <f t="shared" si="19"/>
        <v>0.45881828089970128</v>
      </c>
      <c r="AC78" s="455">
        <f t="shared" si="20"/>
        <v>38501</v>
      </c>
      <c r="AD78" s="460"/>
      <c r="AE78" s="461" t="str">
        <f t="shared" si="21"/>
        <v>otro</v>
      </c>
      <c r="AF78" s="462" t="str">
        <f t="shared" si="22"/>
        <v>PRI-PVEM-NA</v>
      </c>
      <c r="AG78" s="124" t="str">
        <f t="shared" si="23"/>
        <v>PRI-PVEM-NA</v>
      </c>
      <c r="AH78" s="119">
        <f t="shared" si="24"/>
        <v>38501</v>
      </c>
      <c r="AI78" s="463">
        <f t="shared" si="25"/>
        <v>0.47387012603387163</v>
      </c>
      <c r="AJ78" s="464">
        <f>RANK(G78,($G78,$I78,$J78,$L78,$N78,$O78,$P78,$Q78,$W78,$X78,$Y78,$Z78,$AC78))</f>
        <v>5</v>
      </c>
      <c r="AK78" s="465"/>
      <c r="AL78" s="466">
        <f>RANK(I78,($G78,$I78,$J78,$L78,$N78,$O78,$P78,$Q78,$W78,$X78,$Y78,$Z78,$AC78))</f>
        <v>2</v>
      </c>
      <c r="AM78" s="466">
        <f>RANK(J78,($G78,$I78,$J78,$L78,$N78,$O78,$P78,$Q78,$W78,$X78,$Y78,$Z78,$AC78))</f>
        <v>6</v>
      </c>
      <c r="AN78" s="457"/>
      <c r="AO78" s="466">
        <f>RANK(L78,($G78,$I78,$J78,$L78,$N78,$O78,$P78,$Q78,$W78,$X78,$Y78,$Z78,$AC78))</f>
        <v>8</v>
      </c>
      <c r="AP78" s="457"/>
      <c r="AQ78" s="466">
        <f>RANK(N78,($G78,$I78,$J78,$L78,$N78,$O78,$P78,$Q78,$W78,$X78,$Y78,$Z78,$AC78))</f>
        <v>3</v>
      </c>
      <c r="AR78" s="466">
        <f>RANK(O78,($G78,$I78,$J78,$L78,$N78,$O78,$P78,$Q78,$W78,$X78,$Y78,$Z78,$AC78))</f>
        <v>9</v>
      </c>
      <c r="AS78" s="466">
        <f>RANK(P78,($G78,$I78,$J78,$L78,$N78,$O78,$P78,$Q78,$W78,$X78,$Y78,$Z78,$AC78))</f>
        <v>7</v>
      </c>
      <c r="AT78" s="466">
        <f>RANK(Q78,($G78,$I78,$J78,$L78,$N78,$O78,$P78,$Q78,$W78,$X78,$Y78,$Z78,$AC78))</f>
        <v>10</v>
      </c>
      <c r="AU78" s="457"/>
      <c r="AV78" s="457"/>
      <c r="AW78" s="466">
        <f>RANK(Y78,($G78,$I78,$J78,$L78,$N78,$O78,$P78,$Q78,$W78,$X78,$Y78,$Z78,$AC78))</f>
        <v>11</v>
      </c>
      <c r="AX78" s="466">
        <f>RANK(Z78,($G78,$I78,$J78,$L78,$N78,$O78,$P78,$Q78,$W78,$X78,$Y78,$Z78,$AC78))</f>
        <v>4</v>
      </c>
      <c r="AY78" s="466">
        <f>RANK(AC78,($G78,$I78,$J78,$L78,$N78,$O78,$P78,$Q78,$W78,$X78,$Y78,$Z78,$AC78))</f>
        <v>1</v>
      </c>
      <c r="AZ78" s="460"/>
      <c r="BA78" s="461" t="str">
        <f t="shared" si="26"/>
        <v>PRD</v>
      </c>
      <c r="BB78" s="124" t="str">
        <f t="shared" si="27"/>
        <v>ninguno</v>
      </c>
      <c r="BC78" s="124" t="str">
        <f t="shared" si="28"/>
        <v>PRD</v>
      </c>
      <c r="BD78" s="119">
        <f t="shared" si="29"/>
        <v>18672</v>
      </c>
      <c r="BE78" s="119" t="str">
        <f t="shared" si="30"/>
        <v>ninguno</v>
      </c>
      <c r="BF78" s="119">
        <f t="shared" si="31"/>
        <v>18672</v>
      </c>
      <c r="BG78" s="467">
        <f t="shared" si="32"/>
        <v>0.22981488775108311</v>
      </c>
      <c r="BH78" s="468">
        <f t="shared" si="33"/>
        <v>19829</v>
      </c>
      <c r="BI78" s="467">
        <f t="shared" si="33"/>
        <v>0.24405523828278852</v>
      </c>
    </row>
    <row r="79" spans="1:61">
      <c r="A79" s="434">
        <v>72</v>
      </c>
      <c r="B79" s="435" t="s">
        <v>90</v>
      </c>
      <c r="C79" s="436">
        <v>10878</v>
      </c>
      <c r="D79" s="434">
        <v>20</v>
      </c>
      <c r="E79" s="434">
        <v>20</v>
      </c>
      <c r="F79" s="437">
        <f t="shared" si="17"/>
        <v>1</v>
      </c>
      <c r="G79" s="455">
        <v>1842</v>
      </c>
      <c r="H79" s="456">
        <v>4197</v>
      </c>
      <c r="I79" s="456">
        <v>116</v>
      </c>
      <c r="J79" s="457"/>
      <c r="K79" s="456">
        <v>119</v>
      </c>
      <c r="L79" s="457"/>
      <c r="M79" s="456">
        <v>127</v>
      </c>
      <c r="N79" s="456">
        <v>147</v>
      </c>
      <c r="O79" s="465"/>
      <c r="P79" s="465"/>
      <c r="Q79" s="456">
        <v>37</v>
      </c>
      <c r="R79" s="456">
        <v>24</v>
      </c>
      <c r="S79" s="456">
        <v>104</v>
      </c>
      <c r="T79" s="456">
        <v>1</v>
      </c>
      <c r="U79" s="456">
        <v>0</v>
      </c>
      <c r="V79" s="465"/>
      <c r="W79" s="457"/>
      <c r="X79" s="457"/>
      <c r="Y79" s="456">
        <v>2</v>
      </c>
      <c r="Z79" s="456">
        <v>275</v>
      </c>
      <c r="AA79" s="458">
        <f t="shared" si="18"/>
        <v>6991</v>
      </c>
      <c r="AB79" s="459">
        <f t="shared" si="19"/>
        <v>0.64267328553042835</v>
      </c>
      <c r="AC79" s="455">
        <f t="shared" si="20"/>
        <v>4572</v>
      </c>
      <c r="AD79" s="460"/>
      <c r="AE79" s="461" t="str">
        <f t="shared" si="21"/>
        <v>otro</v>
      </c>
      <c r="AF79" s="462" t="str">
        <f t="shared" si="22"/>
        <v>PRI-PVEM-NA</v>
      </c>
      <c r="AG79" s="124" t="str">
        <f t="shared" si="23"/>
        <v>PRI-PVEM-NA</v>
      </c>
      <c r="AH79" s="119">
        <f t="shared" si="24"/>
        <v>4572</v>
      </c>
      <c r="AI79" s="463">
        <f t="shared" si="25"/>
        <v>0.65398369331998285</v>
      </c>
      <c r="AJ79" s="464">
        <f>RANK(G79,($G79,$I79,$J79,$L79,$N79,$O79,$P79,$Q79,$W79,$X79,$Y79,$Z79,$AC79))</f>
        <v>2</v>
      </c>
      <c r="AK79" s="465"/>
      <c r="AL79" s="466">
        <f>RANK(I79,($G79,$I79,$J79,$L79,$N79,$O79,$P79,$Q79,$W79,$X79,$Y79,$Z79,$AC79))</f>
        <v>5</v>
      </c>
      <c r="AM79" s="465"/>
      <c r="AN79" s="457"/>
      <c r="AO79" s="457"/>
      <c r="AP79" s="457"/>
      <c r="AQ79" s="466">
        <f>RANK(N79,($G79,$I79,$J79,$L79,$N79,$O79,$P79,$Q79,$W79,$X79,$Y79,$Z79,$AC79))</f>
        <v>4</v>
      </c>
      <c r="AR79" s="457"/>
      <c r="AS79" s="457"/>
      <c r="AT79" s="466">
        <f>RANK(Q79,($G79,$I79,$J79,$L79,$N79,$O79,$P79,$Q79,$W79,$X79,$Y79,$Z79,$AC79))</f>
        <v>6</v>
      </c>
      <c r="AU79" s="457"/>
      <c r="AV79" s="457"/>
      <c r="AW79" s="466">
        <f>RANK(Y79,($G79,$I79,$J79,$L79,$N79,$O79,$P79,$Q79,$W79,$X79,$Y79,$Z79,$AC79))</f>
        <v>7</v>
      </c>
      <c r="AX79" s="466">
        <f>RANK(Z79,($G79,$I79,$J79,$L79,$N79,$O79,$P79,$Q79,$W79,$X79,$Y79,$Z79,$AC79))</f>
        <v>3</v>
      </c>
      <c r="AY79" s="466">
        <f>RANK(AC79,($G79,$I79,$J79,$L79,$N79,$O79,$P79,$Q79,$W79,$X79,$Y79,$Z79,$AC79))</f>
        <v>1</v>
      </c>
      <c r="AZ79" s="460"/>
      <c r="BA79" s="461" t="str">
        <f t="shared" si="26"/>
        <v>PAN</v>
      </c>
      <c r="BB79" s="124" t="str">
        <f t="shared" si="27"/>
        <v>ninguno</v>
      </c>
      <c r="BC79" s="124" t="str">
        <f t="shared" si="28"/>
        <v>PAN</v>
      </c>
      <c r="BD79" s="119">
        <f t="shared" si="29"/>
        <v>1842</v>
      </c>
      <c r="BE79" s="119" t="str">
        <f t="shared" si="30"/>
        <v>ninguno</v>
      </c>
      <c r="BF79" s="119">
        <f t="shared" si="31"/>
        <v>1842</v>
      </c>
      <c r="BG79" s="467">
        <f t="shared" si="32"/>
        <v>0.26348161922471747</v>
      </c>
      <c r="BH79" s="468">
        <f t="shared" si="33"/>
        <v>2730</v>
      </c>
      <c r="BI79" s="467">
        <f t="shared" si="33"/>
        <v>0.39050207409526538</v>
      </c>
    </row>
    <row r="80" spans="1:61">
      <c r="A80" s="434">
        <v>73</v>
      </c>
      <c r="B80" s="435" t="s">
        <v>91</v>
      </c>
      <c r="C80" s="436">
        <v>7901</v>
      </c>
      <c r="D80" s="434">
        <v>13</v>
      </c>
      <c r="E80" s="434">
        <v>13</v>
      </c>
      <c r="F80" s="437">
        <f t="shared" si="17"/>
        <v>1</v>
      </c>
      <c r="G80" s="455">
        <v>104</v>
      </c>
      <c r="H80" s="456">
        <v>2444</v>
      </c>
      <c r="I80" s="456">
        <v>122</v>
      </c>
      <c r="J80" s="456">
        <v>2327</v>
      </c>
      <c r="K80" s="456">
        <v>109</v>
      </c>
      <c r="L80" s="456">
        <v>424</v>
      </c>
      <c r="M80" s="456">
        <v>24</v>
      </c>
      <c r="N80" s="456">
        <v>28</v>
      </c>
      <c r="O80" s="456">
        <v>27</v>
      </c>
      <c r="P80" s="465"/>
      <c r="Q80" s="456">
        <v>10</v>
      </c>
      <c r="R80" s="456">
        <v>16</v>
      </c>
      <c r="S80" s="456">
        <v>47</v>
      </c>
      <c r="T80" s="456">
        <v>2</v>
      </c>
      <c r="U80" s="456">
        <v>0</v>
      </c>
      <c r="V80" s="456">
        <v>29</v>
      </c>
      <c r="W80" s="456">
        <v>251</v>
      </c>
      <c r="X80" s="457"/>
      <c r="Y80" s="456">
        <v>7</v>
      </c>
      <c r="Z80" s="456">
        <v>97</v>
      </c>
      <c r="AA80" s="458">
        <f t="shared" si="18"/>
        <v>6068</v>
      </c>
      <c r="AB80" s="459">
        <f t="shared" si="19"/>
        <v>0.76800405012023798</v>
      </c>
      <c r="AC80" s="455">
        <f t="shared" si="20"/>
        <v>2642</v>
      </c>
      <c r="AD80" s="458">
        <f>G80+J80+V80</f>
        <v>2460</v>
      </c>
      <c r="AE80" s="461" t="str">
        <f t="shared" si="21"/>
        <v>otro</v>
      </c>
      <c r="AF80" s="462" t="str">
        <f t="shared" si="22"/>
        <v>PRI-PVEM-NA</v>
      </c>
      <c r="AG80" s="124" t="str">
        <f t="shared" si="23"/>
        <v>PRI-PVEM-NA</v>
      </c>
      <c r="AH80" s="119">
        <f t="shared" si="24"/>
        <v>2642</v>
      </c>
      <c r="AI80" s="463">
        <f t="shared" si="25"/>
        <v>0.43539881344759396</v>
      </c>
      <c r="AJ80" s="470"/>
      <c r="AK80" s="465"/>
      <c r="AL80" s="466">
        <f>RANK(I80,($I80,$L80,$N80,$O80,$P80,$Q80,$W80,$X80,$Y80,$Z80,$AC80,$AD80))</f>
        <v>5</v>
      </c>
      <c r="AM80" s="465"/>
      <c r="AN80" s="457"/>
      <c r="AO80" s="466">
        <f>RANK(L80,($I80,$L80,$N80,$O80,$P80,$Q80,$W80,$X80,$Y80,$Z80,$AC80,$AD80))</f>
        <v>3</v>
      </c>
      <c r="AP80" s="457"/>
      <c r="AQ80" s="466">
        <f>RANK(N80,($I80,$L80,$N80,$O80,$P80,$Q80,$W80,$X80,$Y80,$Z80,$AC80,$AD80))</f>
        <v>7</v>
      </c>
      <c r="AR80" s="466">
        <f>RANK(O80,($I80,$L80,$N80,$O80,$P80,$Q80,$W80,$X80,$Y80,$Z80,$AC80,$AD80))</f>
        <v>8</v>
      </c>
      <c r="AS80" s="457"/>
      <c r="AT80" s="466">
        <f>RANK(Q80,($I80,$L80,$N80,$O80,$P80,$Q80,$W80,$X80,$Y80,$Z80,$AC80,$AD80))</f>
        <v>9</v>
      </c>
      <c r="AU80" s="466">
        <f>RANK(W80,($I80,$L80,$N80,$O80,$P80,$Q80,$W80,$X80,$Y80,$Z80,$AC80,$AD80))</f>
        <v>4</v>
      </c>
      <c r="AV80" s="457"/>
      <c r="AW80" s="466">
        <f>RANK(Y80,($I80,$L80,$N80,$O80,$P80,$Q80,$W80,$X80,$Y80,$Z80,$AC80,$AD80))</f>
        <v>10</v>
      </c>
      <c r="AX80" s="466">
        <f>RANK(Z80,($I80,$L80,$N80,$O80,$P80,$Q80,$W80,$X80,$Y80,$Z80,$AC80,$AD80))</f>
        <v>6</v>
      </c>
      <c r="AY80" s="466">
        <f>RANK(AC80,($I80,$L80,$N80,$O80,$P80,$Q80,$W80,$X80,$Y80,$Z80,$AC80,$AD80))</f>
        <v>1</v>
      </c>
      <c r="AZ80" s="471">
        <f>RANK(AD80,($I80,$L80,$N80,$O80,$P80,$Q80,$W80,$X80,$Y80,$Z80,$AC80,$AD80))</f>
        <v>2</v>
      </c>
      <c r="BA80" s="461" t="str">
        <f t="shared" si="26"/>
        <v>otro</v>
      </c>
      <c r="BB80" s="124" t="str">
        <f t="shared" si="27"/>
        <v>PAN-PT</v>
      </c>
      <c r="BC80" s="124" t="str">
        <f t="shared" si="28"/>
        <v>PAN-PT</v>
      </c>
      <c r="BD80" s="119" t="str">
        <f t="shared" si="29"/>
        <v>otro</v>
      </c>
      <c r="BE80" s="119">
        <f t="shared" si="30"/>
        <v>2460</v>
      </c>
      <c r="BF80" s="119">
        <f t="shared" si="31"/>
        <v>2460</v>
      </c>
      <c r="BG80" s="467">
        <f t="shared" si="32"/>
        <v>0.40540540540540543</v>
      </c>
      <c r="BH80" s="468">
        <f t="shared" si="33"/>
        <v>182</v>
      </c>
      <c r="BI80" s="467">
        <f t="shared" si="33"/>
        <v>2.999340804218853E-2</v>
      </c>
    </row>
    <row r="81" spans="1:61">
      <c r="A81" s="434">
        <v>74</v>
      </c>
      <c r="B81" s="435" t="s">
        <v>92</v>
      </c>
      <c r="C81" s="436">
        <v>14203</v>
      </c>
      <c r="D81" s="434">
        <v>21</v>
      </c>
      <c r="E81" s="434">
        <v>21</v>
      </c>
      <c r="F81" s="437">
        <f t="shared" si="17"/>
        <v>1</v>
      </c>
      <c r="G81" s="455">
        <v>1897</v>
      </c>
      <c r="H81" s="456">
        <v>1765</v>
      </c>
      <c r="I81" s="456">
        <v>884</v>
      </c>
      <c r="J81" s="456">
        <v>1521</v>
      </c>
      <c r="K81" s="456">
        <v>30</v>
      </c>
      <c r="L81" s="456">
        <v>97</v>
      </c>
      <c r="M81" s="456">
        <v>62</v>
      </c>
      <c r="N81" s="456">
        <v>667</v>
      </c>
      <c r="O81" s="456">
        <v>901</v>
      </c>
      <c r="P81" s="456">
        <v>156</v>
      </c>
      <c r="Q81" s="456">
        <v>512</v>
      </c>
      <c r="R81" s="456">
        <v>5</v>
      </c>
      <c r="S81" s="456">
        <v>12</v>
      </c>
      <c r="T81" s="456">
        <v>6</v>
      </c>
      <c r="U81" s="456">
        <v>0</v>
      </c>
      <c r="V81" s="465"/>
      <c r="W81" s="456">
        <v>81</v>
      </c>
      <c r="X81" s="457"/>
      <c r="Y81" s="456">
        <v>12</v>
      </c>
      <c r="Z81" s="456">
        <v>175</v>
      </c>
      <c r="AA81" s="458">
        <f t="shared" si="18"/>
        <v>8783</v>
      </c>
      <c r="AB81" s="459">
        <f t="shared" si="19"/>
        <v>0.61839048088432025</v>
      </c>
      <c r="AC81" s="455">
        <f t="shared" si="20"/>
        <v>1880</v>
      </c>
      <c r="AD81" s="460"/>
      <c r="AE81" s="461" t="str">
        <f t="shared" si="21"/>
        <v>PAN</v>
      </c>
      <c r="AF81" s="462" t="str">
        <f t="shared" si="22"/>
        <v>ninguno</v>
      </c>
      <c r="AG81" s="124" t="str">
        <f t="shared" si="23"/>
        <v>PAN</v>
      </c>
      <c r="AH81" s="119">
        <f t="shared" si="24"/>
        <v>1897</v>
      </c>
      <c r="AI81" s="463">
        <f t="shared" si="25"/>
        <v>0.21598542639189344</v>
      </c>
      <c r="AJ81" s="464">
        <f>RANK(G81,($G81,$I81,$J81,$L81,$N81,$O81,$P81,$Q81,$W81,$X81,$Y81,$Z81,$AC81))</f>
        <v>1</v>
      </c>
      <c r="AK81" s="465"/>
      <c r="AL81" s="466">
        <f>RANK(I81,($G81,$I81,$J81,$L81,$N81,$O81,$P81,$Q81,$W81,$X81,$Y81,$Z81,$AC81))</f>
        <v>5</v>
      </c>
      <c r="AM81" s="466">
        <f>RANK(J81,($G81,$I81,$J81,$L81,$N81,$O81,$P81,$Q81,$W81,$X81,$Y81,$Z81,$AC81))</f>
        <v>3</v>
      </c>
      <c r="AN81" s="457"/>
      <c r="AO81" s="466">
        <f>RANK(L81,($G81,$I81,$J81,$L81,$N81,$O81,$P81,$Q81,$W81,$X81,$Y81,$Z81,$AC81))</f>
        <v>10</v>
      </c>
      <c r="AP81" s="457"/>
      <c r="AQ81" s="466">
        <f>RANK(N81,($G81,$I81,$J81,$L81,$N81,$O81,$P81,$Q81,$W81,$X81,$Y81,$Z81,$AC81))</f>
        <v>6</v>
      </c>
      <c r="AR81" s="466">
        <f>RANK(O81,($G81,$I81,$J81,$L81,$N81,$O81,$P81,$Q81,$W81,$X81,$Y81,$Z81,$AC81))</f>
        <v>4</v>
      </c>
      <c r="AS81" s="466">
        <f>RANK(P81,($G81,$I81,$J81,$L81,$N81,$O81,$P81,$Q81,$W81,$X81,$Y81,$Z81,$AC81))</f>
        <v>9</v>
      </c>
      <c r="AT81" s="466">
        <f>RANK(Q81,($G81,$I81,$J81,$L81,$N81,$O81,$P81,$Q81,$W81,$X81,$Y81,$Z81,$AC81))</f>
        <v>7</v>
      </c>
      <c r="AU81" s="466">
        <f>RANK(W81,($G81,$I81,$J81,$L81,$N81,$O81,$P81,$Q81,$W81,$X81,$Y81,$Z81,$AC81))</f>
        <v>11</v>
      </c>
      <c r="AV81" s="457"/>
      <c r="AW81" s="466">
        <f>RANK(Y81,($G81,$I81,$J81,$L81,$N81,$O81,$P81,$Q81,$W81,$X81,$Y81,$Z81,$AC81))</f>
        <v>12</v>
      </c>
      <c r="AX81" s="466">
        <f>RANK(Z81,($G81,$I81,$J81,$L81,$N81,$O81,$P81,$Q81,$W81,$X81,$Y81,$Z81,$AC81))</f>
        <v>8</v>
      </c>
      <c r="AY81" s="466">
        <f>RANK(AC81,($G81,$I81,$J81,$L81,$N81,$O81,$P81,$Q81,$W81,$X81,$Y81,$Z81,$AC81))</f>
        <v>2</v>
      </c>
      <c r="AZ81" s="460"/>
      <c r="BA81" s="461" t="str">
        <f t="shared" si="26"/>
        <v>otro</v>
      </c>
      <c r="BB81" s="124" t="str">
        <f t="shared" si="27"/>
        <v>PRI-PVEM-NA</v>
      </c>
      <c r="BC81" s="124" t="str">
        <f t="shared" si="28"/>
        <v>PRI-PVEM-NA</v>
      </c>
      <c r="BD81" s="119" t="str">
        <f t="shared" si="29"/>
        <v>otro</v>
      </c>
      <c r="BE81" s="119">
        <f t="shared" si="30"/>
        <v>1880</v>
      </c>
      <c r="BF81" s="119">
        <f t="shared" si="31"/>
        <v>1880</v>
      </c>
      <c r="BG81" s="467">
        <f t="shared" si="32"/>
        <v>0.21404986906523968</v>
      </c>
      <c r="BH81" s="468">
        <f t="shared" si="33"/>
        <v>17</v>
      </c>
      <c r="BI81" s="467">
        <f t="shared" si="33"/>
        <v>1.935557326653764E-3</v>
      </c>
    </row>
    <row r="82" spans="1:61" ht="25.5">
      <c r="A82" s="434">
        <v>75</v>
      </c>
      <c r="B82" s="435" t="s">
        <v>93</v>
      </c>
      <c r="C82" s="436">
        <v>82158</v>
      </c>
      <c r="D82" s="434">
        <v>136</v>
      </c>
      <c r="E82" s="434">
        <v>136</v>
      </c>
      <c r="F82" s="437">
        <f t="shared" si="17"/>
        <v>1</v>
      </c>
      <c r="G82" s="455">
        <v>8190</v>
      </c>
      <c r="H82" s="456">
        <v>29112</v>
      </c>
      <c r="I82" s="456">
        <v>1457</v>
      </c>
      <c r="J82" s="456">
        <v>1330</v>
      </c>
      <c r="K82" s="456">
        <v>599</v>
      </c>
      <c r="L82" s="456">
        <v>612</v>
      </c>
      <c r="M82" s="456">
        <v>1375</v>
      </c>
      <c r="N82" s="456">
        <v>1598</v>
      </c>
      <c r="O82" s="456">
        <v>716</v>
      </c>
      <c r="P82" s="456">
        <v>737</v>
      </c>
      <c r="Q82" s="456">
        <v>390</v>
      </c>
      <c r="R82" s="465"/>
      <c r="S82" s="465"/>
      <c r="T82" s="465"/>
      <c r="U82" s="465"/>
      <c r="V82" s="465"/>
      <c r="W82" s="457"/>
      <c r="X82" s="457"/>
      <c r="Y82" s="456">
        <v>9</v>
      </c>
      <c r="Z82" s="456">
        <v>3014</v>
      </c>
      <c r="AA82" s="458">
        <f t="shared" si="18"/>
        <v>49139</v>
      </c>
      <c r="AB82" s="459">
        <f t="shared" si="19"/>
        <v>0.59810365393510068</v>
      </c>
      <c r="AC82" s="470"/>
      <c r="AD82" s="460"/>
      <c r="AE82" s="461" t="str">
        <f t="shared" si="21"/>
        <v>PRI</v>
      </c>
      <c r="AF82" s="462" t="str">
        <f t="shared" si="22"/>
        <v>ninguno</v>
      </c>
      <c r="AG82" s="124" t="str">
        <f t="shared" si="23"/>
        <v>PRI</v>
      </c>
      <c r="AH82" s="119">
        <f t="shared" si="24"/>
        <v>29112</v>
      </c>
      <c r="AI82" s="463">
        <f t="shared" si="25"/>
        <v>0.59244184863346827</v>
      </c>
      <c r="AJ82" s="464">
        <f>RANK(G82,($G82,$H82,$I82,$J82,$K82,$L82,$M82,$N82,$O82,$P82,$Q82,$W82,$X82,$Y82,$Z82))</f>
        <v>2</v>
      </c>
      <c r="AK82" s="466">
        <f>RANK(H82,($G82,$H82,$I82,$J82,$K82,$L82,$M82,$N82,$O82,$P82,$Q82,$W82,$X82,$Y82,$Z82))</f>
        <v>1</v>
      </c>
      <c r="AL82" s="466">
        <f>RANK(I82,($G82,$H82,$I82,$J82,$K82,$L82,$M82,$N82,$O82,$P82,$Q82,$W82,$X82,$Y82,$Z82))</f>
        <v>5</v>
      </c>
      <c r="AM82" s="466">
        <f>RANK(J82,($G82,$H82,$I82,$J82,$K82,$L82,$M82,$N82,$O82,$P82,$Q82,$W82,$X82,$Y82,$Z82))</f>
        <v>7</v>
      </c>
      <c r="AN82" s="466">
        <f>RANK(K82,($G82,$H82,$I82,$J82,$K82,$L82,$M82,$N82,$O82,$P82,$Q82,$W82,$X82,$Y82,$Z82))</f>
        <v>11</v>
      </c>
      <c r="AO82" s="466">
        <f>RANK(L82,($G82,$H82,$I82,$J82,$K82,$L82,$M82,$N82,$O82,$P82,$Q82,$W82,$X82,$Y82,$Z82))</f>
        <v>10</v>
      </c>
      <c r="AP82" s="466">
        <f>RANK(M82,($G82,$H82,$I82,$J82,$K82,$L82,$M82,$N82,$O82,$P82,$Q82,$W82,$X82,$Y82,$Z82))</f>
        <v>6</v>
      </c>
      <c r="AQ82" s="466">
        <f>RANK(N82,($G82,$H82,$I82,$J82,$K82,$L82,$M82,$N82,$O82,$P82,$Q82,$W82,$X82,$Y82,$Z82))</f>
        <v>4</v>
      </c>
      <c r="AR82" s="466">
        <f>RANK(O82,($G82,$H82,$I82,$J82,$K82,$L82,$M82,$N82,$O82,$P82,$Q82,$W82,$X82,$Y82,$Z82))</f>
        <v>9</v>
      </c>
      <c r="AS82" s="466">
        <f>RANK(P82,($G82,$H82,$I82,$J82,$K82,$L82,$M82,$N82,$O82,$P82,$Q82,$W82,$X82,$Y82,$Z82))</f>
        <v>8</v>
      </c>
      <c r="AT82" s="466">
        <f>RANK(Q82,($G82,$H82,$I82,$J82,$K82,$L82,$M82,$N82,$O82,$P82,$Q82,$W82,$X82,$Y82,$Z82))</f>
        <v>12</v>
      </c>
      <c r="AU82" s="457"/>
      <c r="AV82" s="457"/>
      <c r="AW82" s="466">
        <f>RANK(Y82,($G82,$H82,$I82,$J82,$K82,$L82,$M82,$N82,$O82,$P82,$Q82,$W82,$X82,$Y82,$Z82))</f>
        <v>13</v>
      </c>
      <c r="AX82" s="466">
        <f>RANK(Z82,($G82,$H82,$I82,$J82,$K82,$L82,$M82,$N82,$O82,$P82,$Q82,$W82,$X82,$Y82,$Z82))</f>
        <v>3</v>
      </c>
      <c r="AY82" s="465"/>
      <c r="AZ82" s="460"/>
      <c r="BA82" s="461" t="str">
        <f t="shared" si="26"/>
        <v>PAN</v>
      </c>
      <c r="BB82" s="124" t="str">
        <f t="shared" si="27"/>
        <v>ninguno</v>
      </c>
      <c r="BC82" s="124" t="str">
        <f t="shared" si="28"/>
        <v>PAN</v>
      </c>
      <c r="BD82" s="119">
        <f t="shared" si="29"/>
        <v>8190</v>
      </c>
      <c r="BE82" s="119" t="str">
        <f t="shared" si="30"/>
        <v>ninguno</v>
      </c>
      <c r="BF82" s="119">
        <f t="shared" si="31"/>
        <v>8190</v>
      </c>
      <c r="BG82" s="467">
        <f t="shared" si="32"/>
        <v>0.16667005840574697</v>
      </c>
      <c r="BH82" s="468">
        <f t="shared" si="33"/>
        <v>20922</v>
      </c>
      <c r="BI82" s="467">
        <f t="shared" si="33"/>
        <v>0.42577179022772127</v>
      </c>
    </row>
    <row r="83" spans="1:61" ht="25.5">
      <c r="A83" s="434">
        <v>76</v>
      </c>
      <c r="B83" s="435" t="s">
        <v>94</v>
      </c>
      <c r="C83" s="436">
        <v>18208</v>
      </c>
      <c r="D83" s="434">
        <v>31</v>
      </c>
      <c r="E83" s="434">
        <v>31</v>
      </c>
      <c r="F83" s="437">
        <f t="shared" si="17"/>
        <v>1</v>
      </c>
      <c r="G83" s="455">
        <v>4361</v>
      </c>
      <c r="H83" s="456">
        <v>4268</v>
      </c>
      <c r="I83" s="456">
        <v>88</v>
      </c>
      <c r="J83" s="456">
        <v>193</v>
      </c>
      <c r="K83" s="456">
        <v>44</v>
      </c>
      <c r="L83" s="456">
        <v>347</v>
      </c>
      <c r="M83" s="456">
        <v>71</v>
      </c>
      <c r="N83" s="456">
        <v>2696</v>
      </c>
      <c r="O83" s="456">
        <v>92</v>
      </c>
      <c r="P83" s="465"/>
      <c r="Q83" s="456">
        <v>30</v>
      </c>
      <c r="R83" s="456">
        <v>11</v>
      </c>
      <c r="S83" s="456">
        <v>26</v>
      </c>
      <c r="T83" s="456">
        <v>3</v>
      </c>
      <c r="U83" s="456">
        <v>1</v>
      </c>
      <c r="V83" s="465"/>
      <c r="W83" s="457"/>
      <c r="X83" s="457"/>
      <c r="Y83" s="456">
        <v>8</v>
      </c>
      <c r="Z83" s="456">
        <v>239</v>
      </c>
      <c r="AA83" s="458">
        <f t="shared" si="18"/>
        <v>12478</v>
      </c>
      <c r="AB83" s="459">
        <f t="shared" si="19"/>
        <v>0.68530316344463971</v>
      </c>
      <c r="AC83" s="455">
        <f t="shared" si="20"/>
        <v>4424</v>
      </c>
      <c r="AD83" s="460"/>
      <c r="AE83" s="461" t="str">
        <f t="shared" si="21"/>
        <v>otro</v>
      </c>
      <c r="AF83" s="462" t="str">
        <f t="shared" si="22"/>
        <v>PRI-PVEM-NA</v>
      </c>
      <c r="AG83" s="124" t="str">
        <f t="shared" si="23"/>
        <v>PRI-PVEM-NA</v>
      </c>
      <c r="AH83" s="119">
        <f t="shared" si="24"/>
        <v>4424</v>
      </c>
      <c r="AI83" s="463">
        <f t="shared" si="25"/>
        <v>0.35454399743548648</v>
      </c>
      <c r="AJ83" s="464">
        <f>RANK(G83,($G83,$I83,$J83,$L83,$N83,$O83,$P83,$Q83,$W83,$X83,$Y83,$Z83,$AC83))</f>
        <v>2</v>
      </c>
      <c r="AK83" s="465"/>
      <c r="AL83" s="466">
        <f>RANK(I83,($G83,$I83,$J83,$L83,$N83,$O83,$P83,$Q83,$W83,$X83,$Y83,$Z83,$AC83))</f>
        <v>8</v>
      </c>
      <c r="AM83" s="466">
        <f>RANK(J83,($G83,$I83,$J83,$L83,$N83,$O83,$P83,$Q83,$W83,$X83,$Y83,$Z83,$AC83))</f>
        <v>6</v>
      </c>
      <c r="AN83" s="457"/>
      <c r="AO83" s="466">
        <f>RANK(L83,($G83,$I83,$J83,$L83,$N83,$O83,$P83,$Q83,$W83,$X83,$Y83,$Z83,$AC83))</f>
        <v>4</v>
      </c>
      <c r="AP83" s="457"/>
      <c r="AQ83" s="466">
        <f>RANK(N83,($G83,$I83,$J83,$L83,$N83,$O83,$P83,$Q83,$W83,$X83,$Y83,$Z83,$AC83))</f>
        <v>3</v>
      </c>
      <c r="AR83" s="466">
        <f>RANK(O83,($G83,$I83,$J83,$L83,$N83,$O83,$P83,$Q83,$W83,$X83,$Y83,$Z83,$AC83))</f>
        <v>7</v>
      </c>
      <c r="AS83" s="457"/>
      <c r="AT83" s="466">
        <f>RANK(Q83,($G83,$I83,$J83,$L83,$N83,$O83,$P83,$Q83,$W83,$X83,$Y83,$Z83,$AC83))</f>
        <v>9</v>
      </c>
      <c r="AU83" s="457"/>
      <c r="AV83" s="457"/>
      <c r="AW83" s="466">
        <f>RANK(Y83,($G83,$I83,$J83,$L83,$N83,$O83,$P83,$Q83,$W83,$X83,$Y83,$Z83,$AC83))</f>
        <v>10</v>
      </c>
      <c r="AX83" s="466">
        <f>RANK(Z83,($G83,$I83,$J83,$L83,$N83,$O83,$P83,$Q83,$W83,$X83,$Y83,$Z83,$AC83))</f>
        <v>5</v>
      </c>
      <c r="AY83" s="466">
        <f>RANK(AC83,($G83,$I83,$J83,$L83,$N83,$O83,$P83,$Q83,$W83,$X83,$Y83,$Z83,$AC83))</f>
        <v>1</v>
      </c>
      <c r="AZ83" s="460"/>
      <c r="BA83" s="461" t="str">
        <f t="shared" si="26"/>
        <v>PAN</v>
      </c>
      <c r="BB83" s="124" t="str">
        <f t="shared" si="27"/>
        <v>ninguno</v>
      </c>
      <c r="BC83" s="124" t="str">
        <f t="shared" si="28"/>
        <v>PAN</v>
      </c>
      <c r="BD83" s="119">
        <f t="shared" si="29"/>
        <v>4361</v>
      </c>
      <c r="BE83" s="119" t="str">
        <f t="shared" si="30"/>
        <v>ninguno</v>
      </c>
      <c r="BF83" s="119">
        <f t="shared" si="31"/>
        <v>4361</v>
      </c>
      <c r="BG83" s="467">
        <f t="shared" si="32"/>
        <v>0.34949511139605705</v>
      </c>
      <c r="BH83" s="468">
        <f t="shared" si="33"/>
        <v>63</v>
      </c>
      <c r="BI83" s="467">
        <f t="shared" si="33"/>
        <v>5.0488860394294344E-3</v>
      </c>
    </row>
    <row r="84" spans="1:61">
      <c r="A84" s="434">
        <v>77</v>
      </c>
      <c r="B84" s="435" t="s">
        <v>95</v>
      </c>
      <c r="C84" s="436">
        <v>62552</v>
      </c>
      <c r="D84" s="434">
        <v>98</v>
      </c>
      <c r="E84" s="434">
        <v>98</v>
      </c>
      <c r="F84" s="437">
        <f t="shared" si="17"/>
        <v>1</v>
      </c>
      <c r="G84" s="455">
        <v>8659</v>
      </c>
      <c r="H84" s="456">
        <v>11878</v>
      </c>
      <c r="I84" s="456">
        <v>1584</v>
      </c>
      <c r="J84" s="456">
        <v>1396</v>
      </c>
      <c r="K84" s="456">
        <v>778</v>
      </c>
      <c r="L84" s="456">
        <v>2317</v>
      </c>
      <c r="M84" s="456">
        <v>1655</v>
      </c>
      <c r="N84" s="456">
        <v>2541</v>
      </c>
      <c r="O84" s="456">
        <v>2613</v>
      </c>
      <c r="P84" s="456">
        <v>873</v>
      </c>
      <c r="Q84" s="456">
        <v>401</v>
      </c>
      <c r="R84" s="465"/>
      <c r="S84" s="465"/>
      <c r="T84" s="465"/>
      <c r="U84" s="465"/>
      <c r="V84" s="465"/>
      <c r="W84" s="457"/>
      <c r="X84" s="457"/>
      <c r="Y84" s="456">
        <v>33</v>
      </c>
      <c r="Z84" s="456">
        <v>984</v>
      </c>
      <c r="AA84" s="458">
        <f t="shared" si="18"/>
        <v>35712</v>
      </c>
      <c r="AB84" s="459">
        <f t="shared" si="19"/>
        <v>0.57091699705844734</v>
      </c>
      <c r="AC84" s="470"/>
      <c r="AD84" s="460"/>
      <c r="AE84" s="461" t="str">
        <f t="shared" si="21"/>
        <v>PRI</v>
      </c>
      <c r="AF84" s="462" t="str">
        <f t="shared" si="22"/>
        <v>ninguno</v>
      </c>
      <c r="AG84" s="124" t="str">
        <f t="shared" si="23"/>
        <v>PRI</v>
      </c>
      <c r="AH84" s="119">
        <f t="shared" si="24"/>
        <v>11878</v>
      </c>
      <c r="AI84" s="463">
        <f t="shared" si="25"/>
        <v>0.33260528673835127</v>
      </c>
      <c r="AJ84" s="464">
        <f>RANK(G84,($G84,$H84,$I84,$J84,$K84,$L84,$M84,$N84,$O84,$P84,$Q84,$W84,$X84,$Y84,$Z84))</f>
        <v>2</v>
      </c>
      <c r="AK84" s="466">
        <f>RANK(H84,($G84,$H84,$I84,$J84,$K84,$L84,$M84,$N84,$O84,$P84,$Q84,$W84,$X84,$Y84,$Z84))</f>
        <v>1</v>
      </c>
      <c r="AL84" s="466">
        <f>RANK(I84,($G84,$H84,$I84,$J84,$K84,$L84,$M84,$N84,$O84,$P84,$Q84,$W84,$X84,$Y84,$Z84))</f>
        <v>7</v>
      </c>
      <c r="AM84" s="466">
        <f>RANK(J84,($G84,$H84,$I84,$J84,$K84,$L84,$M84,$N84,$O84,$P84,$Q84,$W84,$X84,$Y84,$Z84))</f>
        <v>8</v>
      </c>
      <c r="AN84" s="466">
        <f>RANK(K84,($G84,$H84,$I84,$J84,$K84,$L84,$M84,$N84,$O84,$P84,$Q84,$W84,$X84,$Y84,$Z84))</f>
        <v>11</v>
      </c>
      <c r="AO84" s="466">
        <f>RANK(L84,($G84,$H84,$I84,$J84,$K84,$L84,$M84,$N84,$O84,$P84,$Q84,$W84,$X84,$Y84,$Z84))</f>
        <v>5</v>
      </c>
      <c r="AP84" s="466">
        <f>RANK(M84,($G84,$H84,$I84,$J84,$K84,$L84,$M84,$N84,$O84,$P84,$Q84,$W84,$X84,$Y84,$Z84))</f>
        <v>6</v>
      </c>
      <c r="AQ84" s="466">
        <f>RANK(N84,($G84,$H84,$I84,$J84,$K84,$L84,$M84,$N84,$O84,$P84,$Q84,$W84,$X84,$Y84,$Z84))</f>
        <v>4</v>
      </c>
      <c r="AR84" s="466">
        <f>RANK(O84,($G84,$H84,$I84,$J84,$K84,$L84,$M84,$N84,$O84,$P84,$Q84,$W84,$X84,$Y84,$Z84))</f>
        <v>3</v>
      </c>
      <c r="AS84" s="466">
        <f>RANK(P84,($G84,$H84,$I84,$J84,$K84,$L84,$M84,$N84,$O84,$P84,$Q84,$W84,$X84,$Y84,$Z84))</f>
        <v>10</v>
      </c>
      <c r="AT84" s="466">
        <f>RANK(Q84,($G84,$H84,$I84,$J84,$K84,$L84,$M84,$N84,$O84,$P84,$Q84,$W84,$X84,$Y84,$Z84))</f>
        <v>12</v>
      </c>
      <c r="AU84" s="457"/>
      <c r="AV84" s="457"/>
      <c r="AW84" s="466">
        <f>RANK(Y84,($G84,$H84,$I84,$J84,$K84,$L84,$M84,$N84,$O84,$P84,$Q84,$W84,$X84,$Y84,$Z84))</f>
        <v>13</v>
      </c>
      <c r="AX84" s="466">
        <f>RANK(Z84,($G84,$H84,$I84,$J84,$K84,$L84,$M84,$N84,$O84,$P84,$Q84,$W84,$X84,$Y84,$Z84))</f>
        <v>9</v>
      </c>
      <c r="AY84" s="465"/>
      <c r="AZ84" s="460"/>
      <c r="BA84" s="461" t="str">
        <f t="shared" si="26"/>
        <v>PAN</v>
      </c>
      <c r="BB84" s="124" t="str">
        <f t="shared" si="27"/>
        <v>ninguno</v>
      </c>
      <c r="BC84" s="124" t="str">
        <f t="shared" si="28"/>
        <v>PAN</v>
      </c>
      <c r="BD84" s="119">
        <f t="shared" si="29"/>
        <v>8659</v>
      </c>
      <c r="BE84" s="119" t="str">
        <f t="shared" si="30"/>
        <v>ninguno</v>
      </c>
      <c r="BF84" s="119">
        <f t="shared" si="31"/>
        <v>8659</v>
      </c>
      <c r="BG84" s="467">
        <f t="shared" si="32"/>
        <v>0.24246751792114696</v>
      </c>
      <c r="BH84" s="468">
        <f t="shared" si="33"/>
        <v>3219</v>
      </c>
      <c r="BI84" s="467">
        <f t="shared" si="33"/>
        <v>9.0137768817204311E-2</v>
      </c>
    </row>
    <row r="85" spans="1:61" ht="25.5">
      <c r="A85" s="434">
        <v>78</v>
      </c>
      <c r="B85" s="435" t="s">
        <v>96</v>
      </c>
      <c r="C85" s="436">
        <v>4487</v>
      </c>
      <c r="D85" s="434">
        <v>8</v>
      </c>
      <c r="E85" s="434">
        <v>8</v>
      </c>
      <c r="F85" s="437">
        <f t="shared" si="17"/>
        <v>1</v>
      </c>
      <c r="G85" s="475"/>
      <c r="H85" s="456">
        <v>1258</v>
      </c>
      <c r="I85" s="456">
        <v>1510</v>
      </c>
      <c r="J85" s="457"/>
      <c r="K85" s="456">
        <v>25</v>
      </c>
      <c r="L85" s="456">
        <v>649</v>
      </c>
      <c r="M85" s="456">
        <v>14</v>
      </c>
      <c r="N85" s="456">
        <v>170</v>
      </c>
      <c r="O85" s="465"/>
      <c r="P85" s="465"/>
      <c r="Q85" s="465"/>
      <c r="R85" s="456">
        <v>20</v>
      </c>
      <c r="S85" s="456">
        <v>0</v>
      </c>
      <c r="T85" s="456">
        <v>0</v>
      </c>
      <c r="U85" s="456">
        <v>0</v>
      </c>
      <c r="V85" s="465"/>
      <c r="W85" s="457"/>
      <c r="X85" s="457"/>
      <c r="Y85" s="456">
        <v>0</v>
      </c>
      <c r="Z85" s="456">
        <v>80</v>
      </c>
      <c r="AA85" s="458">
        <f t="shared" si="18"/>
        <v>3726</v>
      </c>
      <c r="AB85" s="459">
        <f t="shared" si="19"/>
        <v>0.83039893024292399</v>
      </c>
      <c r="AC85" s="455">
        <f t="shared" si="20"/>
        <v>1317</v>
      </c>
      <c r="AD85" s="460"/>
      <c r="AE85" s="461" t="str">
        <f t="shared" si="21"/>
        <v>PRD</v>
      </c>
      <c r="AF85" s="462" t="str">
        <f t="shared" si="22"/>
        <v>ninguno</v>
      </c>
      <c r="AG85" s="124" t="str">
        <f t="shared" si="23"/>
        <v>PRD</v>
      </c>
      <c r="AH85" s="119">
        <f t="shared" si="24"/>
        <v>1510</v>
      </c>
      <c r="AI85" s="463">
        <f t="shared" si="25"/>
        <v>0.4052603327965647</v>
      </c>
      <c r="AJ85" s="464">
        <f>RANK(G85,($G85,$I85,$J85,$L85,$N85,$O85,$P85,$Q85,$W85,$X85,$Y85,$Z85,$AC85))</f>
        <v>6</v>
      </c>
      <c r="AK85" s="465"/>
      <c r="AL85" s="466">
        <f>RANK(I85,($G85,$I85,$J85,$L85,$N85,$O85,$P85,$Q85,$W85,$X85,$Y85,$Z85,$AC85))</f>
        <v>1</v>
      </c>
      <c r="AM85" s="465"/>
      <c r="AN85" s="457"/>
      <c r="AO85" s="466">
        <f>RANK(L85,($G85,$I85,$J85,$L85,$N85,$O85,$P85,$Q85,$W85,$X85,$Y85,$Z85,$AC85))</f>
        <v>3</v>
      </c>
      <c r="AP85" s="457"/>
      <c r="AQ85" s="466">
        <f>RANK(N85,($G85,$I85,$J85,$L85,$N85,$O85,$P85,$Q85,$W85,$X85,$Y85,$Z85,$AC85))</f>
        <v>4</v>
      </c>
      <c r="AR85" s="457"/>
      <c r="AS85" s="457"/>
      <c r="AT85" s="457"/>
      <c r="AU85" s="457"/>
      <c r="AV85" s="457"/>
      <c r="AW85" s="466">
        <f>RANK(Y85,($G85,$I85,$J85,$L85,$N85,$O85,$P85,$Q85,$W85,$X85,$Y85,$Z85,$AC85))</f>
        <v>6</v>
      </c>
      <c r="AX85" s="466">
        <f>RANK(Z85,($G85,$I85,$J85,$L85,$N85,$O85,$P85,$Q85,$W85,$X85,$Y85,$Z85,$AC85))</f>
        <v>5</v>
      </c>
      <c r="AY85" s="466">
        <f>RANK(AC85,($G85,$I85,$J85,$L85,$N85,$O85,$P85,$Q85,$W85,$X85,$Y85,$Z85,$AC85))</f>
        <v>2</v>
      </c>
      <c r="AZ85" s="460"/>
      <c r="BA85" s="461" t="str">
        <f t="shared" si="26"/>
        <v>otro</v>
      </c>
      <c r="BB85" s="124" t="str">
        <f t="shared" si="27"/>
        <v>PRI-PVEM-NA</v>
      </c>
      <c r="BC85" s="124" t="str">
        <f t="shared" si="28"/>
        <v>PRI-PVEM-NA</v>
      </c>
      <c r="BD85" s="119" t="str">
        <f t="shared" si="29"/>
        <v>otro</v>
      </c>
      <c r="BE85" s="119">
        <f t="shared" si="30"/>
        <v>1317</v>
      </c>
      <c r="BF85" s="119">
        <f t="shared" si="31"/>
        <v>1317</v>
      </c>
      <c r="BG85" s="467">
        <f t="shared" si="32"/>
        <v>0.35346215780998391</v>
      </c>
      <c r="BH85" s="468">
        <f t="shared" si="33"/>
        <v>193</v>
      </c>
      <c r="BI85" s="467">
        <f t="shared" si="33"/>
        <v>5.1798174986580792E-2</v>
      </c>
    </row>
    <row r="86" spans="1:61">
      <c r="A86" s="434">
        <v>79</v>
      </c>
      <c r="B86" s="435" t="s">
        <v>97</v>
      </c>
      <c r="C86" s="436">
        <v>6916</v>
      </c>
      <c r="D86" s="434">
        <v>20</v>
      </c>
      <c r="E86" s="434">
        <v>20</v>
      </c>
      <c r="F86" s="437">
        <f t="shared" si="17"/>
        <v>1</v>
      </c>
      <c r="G86" s="455">
        <v>884</v>
      </c>
      <c r="H86" s="456">
        <v>1934</v>
      </c>
      <c r="I86" s="456">
        <v>1258</v>
      </c>
      <c r="J86" s="456">
        <v>1098</v>
      </c>
      <c r="K86" s="456">
        <v>6</v>
      </c>
      <c r="L86" s="456">
        <v>16</v>
      </c>
      <c r="M86" s="456">
        <v>95</v>
      </c>
      <c r="N86" s="456">
        <v>44</v>
      </c>
      <c r="O86" s="465"/>
      <c r="P86" s="465"/>
      <c r="Q86" s="465"/>
      <c r="R86" s="465"/>
      <c r="S86" s="465"/>
      <c r="T86" s="465"/>
      <c r="U86" s="465"/>
      <c r="V86" s="465"/>
      <c r="W86" s="457"/>
      <c r="X86" s="457"/>
      <c r="Y86" s="456">
        <v>3</v>
      </c>
      <c r="Z86" s="456">
        <v>75</v>
      </c>
      <c r="AA86" s="458">
        <f t="shared" si="18"/>
        <v>5413</v>
      </c>
      <c r="AB86" s="459">
        <f t="shared" si="19"/>
        <v>0.78267784846732213</v>
      </c>
      <c r="AC86" s="470"/>
      <c r="AD86" s="460"/>
      <c r="AE86" s="461" t="str">
        <f t="shared" si="21"/>
        <v>PRI</v>
      </c>
      <c r="AF86" s="462" t="str">
        <f t="shared" si="22"/>
        <v>ninguno</v>
      </c>
      <c r="AG86" s="124" t="str">
        <f t="shared" si="23"/>
        <v>PRI</v>
      </c>
      <c r="AH86" s="119">
        <f t="shared" si="24"/>
        <v>1934</v>
      </c>
      <c r="AI86" s="463">
        <f t="shared" si="25"/>
        <v>0.35728801034546465</v>
      </c>
      <c r="AJ86" s="464">
        <f>RANK(G86,($G86,$H86,$I86,$J86,$K86,$L86,$M86,$N86,$O86,$P86,$Q86,$W86,$X86,$Y86,$Z86))</f>
        <v>4</v>
      </c>
      <c r="AK86" s="466">
        <f>RANK(H86,($G86,$H86,$I86,$J86,$K86,$L86,$M86,$N86,$O86,$P86,$Q86,$W86,$X86,$Y86,$Z86))</f>
        <v>1</v>
      </c>
      <c r="AL86" s="466">
        <f>RANK(I86,($G86,$H86,$I86,$J86,$K86,$L86,$M86,$N86,$O86,$P86,$Q86,$W86,$X86,$Y86,$Z86))</f>
        <v>2</v>
      </c>
      <c r="AM86" s="466">
        <f>RANK(J86,($G86,$H86,$I86,$J86,$K86,$L86,$M86,$N86,$O86,$P86,$Q86,$W86,$X86,$Y86,$Z86))</f>
        <v>3</v>
      </c>
      <c r="AN86" s="466">
        <f>RANK(K86,($G86,$H86,$I86,$J86,$K86,$L86,$M86,$N86,$O86,$P86,$Q86,$W86,$X86,$Y86,$Z86))</f>
        <v>9</v>
      </c>
      <c r="AO86" s="466">
        <f>RANK(L86,($G86,$H86,$I86,$J86,$K86,$L86,$M86,$N86,$O86,$P86,$Q86,$W86,$X86,$Y86,$Z86))</f>
        <v>8</v>
      </c>
      <c r="AP86" s="466">
        <f>RANK(M86,($G86,$H86,$I86,$J86,$K86,$L86,$M86,$N86,$O86,$P86,$Q86,$W86,$X86,$Y86,$Z86))</f>
        <v>5</v>
      </c>
      <c r="AQ86" s="466">
        <f>RANK(N86,($G86,$H86,$I86,$J86,$K86,$L86,$M86,$N86,$O86,$P86,$Q86,$W86,$X86,$Y86,$Z86))</f>
        <v>7</v>
      </c>
      <c r="AR86" s="457"/>
      <c r="AS86" s="457"/>
      <c r="AT86" s="457"/>
      <c r="AU86" s="457"/>
      <c r="AV86" s="457"/>
      <c r="AW86" s="466">
        <f>RANK(Y86,($G86,$H86,$I86,$J86,$K86,$L86,$M86,$N86,$O86,$P86,$Q86,$W86,$X86,$Y86,$Z86))</f>
        <v>10</v>
      </c>
      <c r="AX86" s="466">
        <f>RANK(Z86,($G86,$H86,$I86,$J86,$K86,$L86,$M86,$N86,$O86,$P86,$Q86,$W86,$X86,$Y86,$Z86))</f>
        <v>6</v>
      </c>
      <c r="AY86" s="465"/>
      <c r="AZ86" s="460"/>
      <c r="BA86" s="461" t="str">
        <f t="shared" si="26"/>
        <v>PRD</v>
      </c>
      <c r="BB86" s="124" t="str">
        <f t="shared" si="27"/>
        <v>ninguno</v>
      </c>
      <c r="BC86" s="124" t="str">
        <f t="shared" si="28"/>
        <v>PRD</v>
      </c>
      <c r="BD86" s="119">
        <f t="shared" si="29"/>
        <v>1258</v>
      </c>
      <c r="BE86" s="119" t="str">
        <f t="shared" si="30"/>
        <v>ninguno</v>
      </c>
      <c r="BF86" s="119">
        <f t="shared" si="31"/>
        <v>1258</v>
      </c>
      <c r="BG86" s="467">
        <f t="shared" si="32"/>
        <v>0.23240347312026602</v>
      </c>
      <c r="BH86" s="468">
        <f t="shared" si="33"/>
        <v>676</v>
      </c>
      <c r="BI86" s="467">
        <f t="shared" si="33"/>
        <v>0.12488453722519863</v>
      </c>
    </row>
    <row r="87" spans="1:61" ht="25.5">
      <c r="A87" s="434">
        <v>80</v>
      </c>
      <c r="B87" s="435" t="s">
        <v>98</v>
      </c>
      <c r="C87" s="436">
        <v>9320</v>
      </c>
      <c r="D87" s="434">
        <v>18</v>
      </c>
      <c r="E87" s="434">
        <v>18</v>
      </c>
      <c r="F87" s="437">
        <f t="shared" si="17"/>
        <v>1</v>
      </c>
      <c r="G87" s="455">
        <v>4341</v>
      </c>
      <c r="H87" s="456">
        <v>2990</v>
      </c>
      <c r="I87" s="456">
        <v>37</v>
      </c>
      <c r="J87" s="456">
        <v>22</v>
      </c>
      <c r="K87" s="456">
        <v>14</v>
      </c>
      <c r="L87" s="457"/>
      <c r="M87" s="456">
        <v>38</v>
      </c>
      <c r="N87" s="456">
        <v>0</v>
      </c>
      <c r="O87" s="465"/>
      <c r="P87" s="465"/>
      <c r="Q87" s="465"/>
      <c r="R87" s="456">
        <v>12</v>
      </c>
      <c r="S87" s="456">
        <v>19</v>
      </c>
      <c r="T87" s="456">
        <v>5</v>
      </c>
      <c r="U87" s="456">
        <v>0</v>
      </c>
      <c r="V87" s="456">
        <v>49</v>
      </c>
      <c r="W87" s="457"/>
      <c r="X87" s="457"/>
      <c r="Y87" s="456">
        <v>23</v>
      </c>
      <c r="Z87" s="456">
        <v>121</v>
      </c>
      <c r="AA87" s="458">
        <f t="shared" si="18"/>
        <v>7671</v>
      </c>
      <c r="AB87" s="459">
        <f t="shared" si="19"/>
        <v>0.82306866952789703</v>
      </c>
      <c r="AC87" s="455">
        <f t="shared" si="20"/>
        <v>3078</v>
      </c>
      <c r="AD87" s="458">
        <f>G87+J87+V87</f>
        <v>4412</v>
      </c>
      <c r="AE87" s="461" t="str">
        <f t="shared" si="21"/>
        <v>otro</v>
      </c>
      <c r="AF87" s="462" t="str">
        <f t="shared" si="22"/>
        <v>PAN-PT</v>
      </c>
      <c r="AG87" s="124" t="str">
        <f t="shared" si="23"/>
        <v>PAN-PT</v>
      </c>
      <c r="AH87" s="119">
        <f t="shared" si="24"/>
        <v>4412</v>
      </c>
      <c r="AI87" s="463">
        <f t="shared" si="25"/>
        <v>0.575153174292791</v>
      </c>
      <c r="AJ87" s="470"/>
      <c r="AK87" s="465"/>
      <c r="AL87" s="466">
        <f>RANK(I87,($I87,$L87,$N87,$O87,$P87,$Q87,$W87,$X87,$Y87,$Z87,$AC87,$AD87))</f>
        <v>4</v>
      </c>
      <c r="AM87" s="465"/>
      <c r="AN87" s="457"/>
      <c r="AO87" s="457"/>
      <c r="AP87" s="457"/>
      <c r="AQ87" s="466">
        <f>RANK(N87,($I87,$L87,$N87,$O87,$P87,$Q87,$W87,$X87,$Y87,$Z87,$AC87,$AD87))</f>
        <v>6</v>
      </c>
      <c r="AR87" s="457"/>
      <c r="AS87" s="457"/>
      <c r="AT87" s="457"/>
      <c r="AU87" s="457"/>
      <c r="AV87" s="457"/>
      <c r="AW87" s="466">
        <f>RANK(Y87,($I87,$L87,$N87,$O87,$P87,$Q87,$W87,$X87,$Y87,$Z87,$AC87,$AD87))</f>
        <v>5</v>
      </c>
      <c r="AX87" s="466">
        <f>RANK(Z87,($I87,$L87,$N87,$O87,$P87,$Q87,$W87,$X87,$Y87,$Z87,$AC87,$AD87))</f>
        <v>3</v>
      </c>
      <c r="AY87" s="466">
        <f>RANK(AC87,($I87,$L87,$N87,$O87,$P87,$Q87,$W87,$X87,$Y87,$Z87,$AC87,$AD87))</f>
        <v>2</v>
      </c>
      <c r="AZ87" s="471">
        <f>RANK(AD87,($I87,$L87,$N87,$O87,$P87,$Q87,$W87,$X87,$Y87,$Z87,$AC87,$AD87))</f>
        <v>1</v>
      </c>
      <c r="BA87" s="461" t="str">
        <f t="shared" si="26"/>
        <v>otro</v>
      </c>
      <c r="BB87" s="124" t="str">
        <f t="shared" si="27"/>
        <v>PRI-PVEM-NA</v>
      </c>
      <c r="BC87" s="124" t="str">
        <f t="shared" si="28"/>
        <v>PRI-PVEM-NA</v>
      </c>
      <c r="BD87" s="119" t="str">
        <f t="shared" si="29"/>
        <v>otro</v>
      </c>
      <c r="BE87" s="119">
        <f t="shared" si="30"/>
        <v>3078</v>
      </c>
      <c r="BF87" s="119">
        <f t="shared" si="31"/>
        <v>3078</v>
      </c>
      <c r="BG87" s="467">
        <f t="shared" si="32"/>
        <v>0.40125146656237781</v>
      </c>
      <c r="BH87" s="468">
        <f t="shared" si="33"/>
        <v>1334</v>
      </c>
      <c r="BI87" s="467">
        <f t="shared" si="33"/>
        <v>0.17390170773041319</v>
      </c>
    </row>
    <row r="88" spans="1:61">
      <c r="A88" s="434">
        <v>81</v>
      </c>
      <c r="B88" s="435" t="s">
        <v>99</v>
      </c>
      <c r="C88" s="436">
        <v>18738</v>
      </c>
      <c r="D88" s="434">
        <v>40</v>
      </c>
      <c r="E88" s="434">
        <v>40</v>
      </c>
      <c r="F88" s="437">
        <f t="shared" si="17"/>
        <v>1</v>
      </c>
      <c r="G88" s="455">
        <v>3255</v>
      </c>
      <c r="H88" s="456">
        <v>6235</v>
      </c>
      <c r="I88" s="456">
        <v>2917</v>
      </c>
      <c r="J88" s="457"/>
      <c r="K88" s="456">
        <v>41</v>
      </c>
      <c r="L88" s="456">
        <v>530</v>
      </c>
      <c r="M88" s="456">
        <v>192</v>
      </c>
      <c r="N88" s="456">
        <v>102</v>
      </c>
      <c r="O88" s="465"/>
      <c r="P88" s="456">
        <v>17</v>
      </c>
      <c r="Q88" s="465"/>
      <c r="R88" s="465"/>
      <c r="S88" s="465"/>
      <c r="T88" s="465"/>
      <c r="U88" s="465"/>
      <c r="V88" s="465"/>
      <c r="W88" s="457"/>
      <c r="X88" s="457"/>
      <c r="Y88" s="456">
        <v>0</v>
      </c>
      <c r="Z88" s="456">
        <v>457</v>
      </c>
      <c r="AA88" s="458">
        <f t="shared" si="18"/>
        <v>13746</v>
      </c>
      <c r="AB88" s="459">
        <f t="shared" si="19"/>
        <v>0.73358949727825806</v>
      </c>
      <c r="AC88" s="470"/>
      <c r="AD88" s="460"/>
      <c r="AE88" s="461" t="str">
        <f t="shared" si="21"/>
        <v>PRI</v>
      </c>
      <c r="AF88" s="462" t="str">
        <f t="shared" si="22"/>
        <v>ninguno</v>
      </c>
      <c r="AG88" s="124" t="str">
        <f t="shared" si="23"/>
        <v>PRI</v>
      </c>
      <c r="AH88" s="119">
        <f t="shared" si="24"/>
        <v>6235</v>
      </c>
      <c r="AI88" s="463">
        <f t="shared" si="25"/>
        <v>0.45358649789029537</v>
      </c>
      <c r="AJ88" s="464">
        <f>RANK(G88,($G88,$H88,$I88,$J88,$K88,$L88,$M88,$N88,$O88,$P88,$Q88,$W88,$X88,$Y88,$Z88))</f>
        <v>2</v>
      </c>
      <c r="AK88" s="466">
        <f>RANK(H88,($G88,$H88,$I88,$J88,$K88,$L88,$M88,$N88,$O88,$P88,$Q88,$W88,$X88,$Y88,$Z88))</f>
        <v>1</v>
      </c>
      <c r="AL88" s="466">
        <f>RANK(I88,($G88,$H88,$I88,$J88,$K88,$L88,$M88,$N88,$O88,$P88,$Q88,$W88,$X88,$Y88,$Z88))</f>
        <v>3</v>
      </c>
      <c r="AM88" s="465"/>
      <c r="AN88" s="466">
        <f>RANK(K88,($G88,$H88,$I88,$J88,$K88,$L88,$M88,$N88,$O88,$P88,$Q88,$W88,$X88,$Y88,$Z88))</f>
        <v>8</v>
      </c>
      <c r="AO88" s="466">
        <f>RANK(L88,($G88,$H88,$I88,$J88,$K88,$L88,$M88,$N88,$O88,$P88,$Q88,$W88,$X88,$Y88,$Z88))</f>
        <v>4</v>
      </c>
      <c r="AP88" s="466">
        <f>RANK(M88,($G88,$H88,$I88,$J88,$K88,$L88,$M88,$N88,$O88,$P88,$Q88,$W88,$X88,$Y88,$Z88))</f>
        <v>6</v>
      </c>
      <c r="AQ88" s="466">
        <f>RANK(N88,($G88,$H88,$I88,$J88,$K88,$L88,$M88,$N88,$O88,$P88,$Q88,$W88,$X88,$Y88,$Z88))</f>
        <v>7</v>
      </c>
      <c r="AR88" s="457"/>
      <c r="AS88" s="466">
        <f>RANK(P88,($G88,$H88,$I88,$J88,$K88,$L88,$M88,$N88,$O88,$P88,$Q88,$W88,$X88,$Y88,$Z88))</f>
        <v>9</v>
      </c>
      <c r="AT88" s="457"/>
      <c r="AU88" s="457"/>
      <c r="AV88" s="457"/>
      <c r="AW88" s="466">
        <f>RANK(Y88,($G88,$H88,$I88,$J88,$K88,$L88,$M88,$N88,$O88,$P88,$Q88,$W88,$X88,$Y88,$Z88))</f>
        <v>10</v>
      </c>
      <c r="AX88" s="466">
        <f>RANK(Z88,($G88,$H88,$I88,$J88,$K88,$L88,$M88,$N88,$O88,$P88,$Q88,$W88,$X88,$Y88,$Z88))</f>
        <v>5</v>
      </c>
      <c r="AY88" s="465"/>
      <c r="AZ88" s="460"/>
      <c r="BA88" s="461" t="str">
        <f t="shared" si="26"/>
        <v>PAN</v>
      </c>
      <c r="BB88" s="124" t="str">
        <f t="shared" si="27"/>
        <v>ninguno</v>
      </c>
      <c r="BC88" s="124" t="str">
        <f t="shared" si="28"/>
        <v>PAN</v>
      </c>
      <c r="BD88" s="119">
        <f t="shared" si="29"/>
        <v>3255</v>
      </c>
      <c r="BE88" s="119" t="str">
        <f t="shared" si="30"/>
        <v>ninguno</v>
      </c>
      <c r="BF88" s="119">
        <f t="shared" si="31"/>
        <v>3255</v>
      </c>
      <c r="BG88" s="467">
        <f t="shared" si="32"/>
        <v>0.23679615888258401</v>
      </c>
      <c r="BH88" s="468">
        <f t="shared" si="33"/>
        <v>2980</v>
      </c>
      <c r="BI88" s="467">
        <f t="shared" si="33"/>
        <v>0.21679033900771136</v>
      </c>
    </row>
    <row r="89" spans="1:61">
      <c r="A89" s="434">
        <v>82</v>
      </c>
      <c r="B89" s="435" t="s">
        <v>664</v>
      </c>
      <c r="C89" s="436">
        <v>281849</v>
      </c>
      <c r="D89" s="434">
        <v>445</v>
      </c>
      <c r="E89" s="434">
        <v>445</v>
      </c>
      <c r="F89" s="437">
        <f t="shared" si="17"/>
        <v>1</v>
      </c>
      <c r="G89" s="455">
        <v>20425</v>
      </c>
      <c r="H89" s="456">
        <v>61462</v>
      </c>
      <c r="I89" s="456">
        <v>8867</v>
      </c>
      <c r="J89" s="456">
        <v>3008</v>
      </c>
      <c r="K89" s="456">
        <v>4526</v>
      </c>
      <c r="L89" s="456">
        <v>4303</v>
      </c>
      <c r="M89" s="456">
        <v>3604</v>
      </c>
      <c r="N89" s="456">
        <v>17355</v>
      </c>
      <c r="O89" s="456">
        <v>4406</v>
      </c>
      <c r="P89" s="456">
        <v>8510</v>
      </c>
      <c r="Q89" s="456">
        <v>974</v>
      </c>
      <c r="R89" s="456">
        <v>640</v>
      </c>
      <c r="S89" s="456">
        <v>918</v>
      </c>
      <c r="T89" s="456">
        <v>46</v>
      </c>
      <c r="U89" s="456">
        <v>20</v>
      </c>
      <c r="V89" s="465"/>
      <c r="W89" s="457"/>
      <c r="X89" s="457"/>
      <c r="Y89" s="456">
        <v>210</v>
      </c>
      <c r="Z89" s="456">
        <v>6291</v>
      </c>
      <c r="AA89" s="458">
        <f t="shared" si="18"/>
        <v>145565</v>
      </c>
      <c r="AB89" s="459">
        <f t="shared" si="19"/>
        <v>0.5164644898509485</v>
      </c>
      <c r="AC89" s="455">
        <f t="shared" si="20"/>
        <v>71216</v>
      </c>
      <c r="AD89" s="460"/>
      <c r="AE89" s="461" t="str">
        <f t="shared" si="21"/>
        <v>otro</v>
      </c>
      <c r="AF89" s="462" t="str">
        <f t="shared" si="22"/>
        <v>PRI-PVEM-NA</v>
      </c>
      <c r="AG89" s="124" t="str">
        <f t="shared" si="23"/>
        <v>PRI-PVEM-NA</v>
      </c>
      <c r="AH89" s="119">
        <f t="shared" si="24"/>
        <v>71216</v>
      </c>
      <c r="AI89" s="463">
        <f t="shared" si="25"/>
        <v>0.4892384845258132</v>
      </c>
      <c r="AJ89" s="464">
        <f>RANK(G89,($G89,$I89,$J89,$L89,$N89,$O89,$P89,$Q89,$W89,$X89,$Y89,$Z89,$AC89))</f>
        <v>2</v>
      </c>
      <c r="AK89" s="465"/>
      <c r="AL89" s="466">
        <f>RANK(I89,($G89,$I89,$J89,$L89,$N89,$O89,$P89,$Q89,$W89,$X89,$Y89,$Z89,$AC89))</f>
        <v>4</v>
      </c>
      <c r="AM89" s="466">
        <f>RANK(J89,($G89,$I89,$J89,$L89,$N89,$O89,$P89,$Q89,$W89,$X89,$Y89,$Z89,$AC89))</f>
        <v>9</v>
      </c>
      <c r="AN89" s="457"/>
      <c r="AO89" s="466">
        <f>RANK(L89,($G89,$I89,$J89,$L89,$N89,$O89,$P89,$Q89,$W89,$X89,$Y89,$Z89,$AC89))</f>
        <v>8</v>
      </c>
      <c r="AP89" s="457"/>
      <c r="AQ89" s="466">
        <f>RANK(N89,($G89,$I89,$J89,$L89,$N89,$O89,$P89,$Q89,$W89,$X89,$Y89,$Z89,$AC89))</f>
        <v>3</v>
      </c>
      <c r="AR89" s="466">
        <f>RANK(O89,($G89,$I89,$J89,$L89,$N89,$O89,$P89,$Q89,$W89,$X89,$Y89,$Z89,$AC89))</f>
        <v>7</v>
      </c>
      <c r="AS89" s="466">
        <f>RANK(P89,($G89,$I89,$J89,$L89,$N89,$O89,$P89,$Q89,$W89,$X89,$Y89,$Z89,$AC89))</f>
        <v>5</v>
      </c>
      <c r="AT89" s="466">
        <f>RANK(Q89,($G89,$I89,$J89,$L89,$N89,$O89,$P89,$Q89,$W89,$X89,$Y89,$Z89,$AC89))</f>
        <v>10</v>
      </c>
      <c r="AU89" s="457"/>
      <c r="AV89" s="457"/>
      <c r="AW89" s="466">
        <f>RANK(Y89,($G89,$I89,$J89,$L89,$N89,$O89,$P89,$Q89,$W89,$X89,$Y89,$Z89,$AC89))</f>
        <v>11</v>
      </c>
      <c r="AX89" s="466">
        <f>RANK(Z89,($G89,$I89,$J89,$L89,$N89,$O89,$P89,$Q89,$W89,$X89,$Y89,$Z89,$AC89))</f>
        <v>6</v>
      </c>
      <c r="AY89" s="466">
        <f>RANK(AC89,($G89,$I89,$J89,$L89,$N89,$O89,$P89,$Q89,$W89,$X89,$Y89,$Z89,$AC89))</f>
        <v>1</v>
      </c>
      <c r="AZ89" s="460"/>
      <c r="BA89" s="461" t="str">
        <f t="shared" si="26"/>
        <v>PAN</v>
      </c>
      <c r="BB89" s="124" t="str">
        <f t="shared" si="27"/>
        <v>ninguno</v>
      </c>
      <c r="BC89" s="124" t="str">
        <f t="shared" si="28"/>
        <v>PAN</v>
      </c>
      <c r="BD89" s="119">
        <f t="shared" si="29"/>
        <v>20425</v>
      </c>
      <c r="BE89" s="119" t="str">
        <f t="shared" si="30"/>
        <v>ninguno</v>
      </c>
      <c r="BF89" s="119">
        <f t="shared" si="31"/>
        <v>20425</v>
      </c>
      <c r="BG89" s="467">
        <f t="shared" si="32"/>
        <v>0.14031532305155772</v>
      </c>
      <c r="BH89" s="468">
        <f t="shared" si="33"/>
        <v>50791</v>
      </c>
      <c r="BI89" s="467">
        <f t="shared" si="33"/>
        <v>0.34892316147425551</v>
      </c>
    </row>
    <row r="90" spans="1:61">
      <c r="A90" s="434">
        <v>83</v>
      </c>
      <c r="B90" s="435" t="s">
        <v>511</v>
      </c>
      <c r="C90" s="436">
        <v>52461</v>
      </c>
      <c r="D90" s="434">
        <v>98</v>
      </c>
      <c r="E90" s="434">
        <v>98</v>
      </c>
      <c r="F90" s="437">
        <f t="shared" si="17"/>
        <v>1</v>
      </c>
      <c r="G90" s="455">
        <v>3997</v>
      </c>
      <c r="H90" s="456">
        <v>12804</v>
      </c>
      <c r="I90" s="456">
        <v>12255</v>
      </c>
      <c r="J90" s="456">
        <v>430</v>
      </c>
      <c r="K90" s="456">
        <v>297</v>
      </c>
      <c r="L90" s="456">
        <v>154</v>
      </c>
      <c r="M90" s="456">
        <v>503</v>
      </c>
      <c r="N90" s="456">
        <v>888</v>
      </c>
      <c r="O90" s="456">
        <v>178</v>
      </c>
      <c r="P90" s="456">
        <v>173</v>
      </c>
      <c r="Q90" s="456">
        <v>41</v>
      </c>
      <c r="R90" s="465"/>
      <c r="S90" s="465"/>
      <c r="T90" s="465"/>
      <c r="U90" s="465"/>
      <c r="V90" s="456">
        <v>45</v>
      </c>
      <c r="W90" s="456">
        <v>938</v>
      </c>
      <c r="X90" s="457"/>
      <c r="Y90" s="456">
        <v>23</v>
      </c>
      <c r="Z90" s="456">
        <v>1091</v>
      </c>
      <c r="AA90" s="458">
        <f t="shared" si="18"/>
        <v>33817</v>
      </c>
      <c r="AB90" s="459">
        <f t="shared" si="19"/>
        <v>0.64461218810163745</v>
      </c>
      <c r="AC90" s="470"/>
      <c r="AD90" s="458">
        <f>G90+J90+V90</f>
        <v>4472</v>
      </c>
      <c r="AE90" s="461" t="str">
        <f t="shared" si="21"/>
        <v>PRI</v>
      </c>
      <c r="AF90" s="462" t="str">
        <f t="shared" si="22"/>
        <v>ninguno</v>
      </c>
      <c r="AG90" s="124" t="str">
        <f t="shared" si="23"/>
        <v>PRI</v>
      </c>
      <c r="AH90" s="119">
        <f t="shared" si="24"/>
        <v>12804</v>
      </c>
      <c r="AI90" s="463">
        <f t="shared" si="25"/>
        <v>0.37862613478428009</v>
      </c>
      <c r="AJ90" s="470"/>
      <c r="AK90" s="466">
        <f>RANK(H90,($H90,$I90,$K90,$L90,$M90,$N90,$O90,$P90,$Q90,$W90,$X90,$Y90,$Z90,$AC90,$AD90))</f>
        <v>1</v>
      </c>
      <c r="AL90" s="466">
        <f>RANK(I90,($H90,$I90,$K90,$L90,$M90,$N90,$O90,$P90,$Q90,$W90,$X90,$Y90,$Z90,$AC90,$AD90))</f>
        <v>2</v>
      </c>
      <c r="AM90" s="465"/>
      <c r="AN90" s="466">
        <f>RANK(K90,($H90,$I90,$K90,$L90,$M90,$N90,$O90,$P90,$Q90,$W90,$X90,$Y90,$Z90,$AC90,$AD90))</f>
        <v>8</v>
      </c>
      <c r="AO90" s="466">
        <f>RANK(L90,($H90,$I90,$K90,$L90,$M90,$N90,$O90,$P90,$Q90,$W90,$X90,$Y90,$Z90,$AC90,$AD90))</f>
        <v>11</v>
      </c>
      <c r="AP90" s="466">
        <f>RANK(M90,($H90,$I90,$K90,$L90,$M90,$N90,$O90,$P90,$Q90,$W90,$X90,$Y90,$Z90,$AC90,$AD90))</f>
        <v>7</v>
      </c>
      <c r="AQ90" s="466">
        <f>RANK(N90,($H90,$I90,$K90,$L90,$M90,$N90,$O90,$P90,$Q90,$W90,$X90,$Y90,$Z90,$AC90,$AD90))</f>
        <v>6</v>
      </c>
      <c r="AR90" s="466">
        <f>RANK(O90,($H90,$I90,$K90,$L90,$M90,$N90,$O90,$P90,$Q90,$W90,$X90,$Y90,$Z90,$AC90,$AD90))</f>
        <v>9</v>
      </c>
      <c r="AS90" s="466">
        <f>RANK(P90,($H90,$I90,$K90,$L90,$M90,$N90,$O90,$P90,$Q90,$W90,$X90,$Y90,$Z90,$AC90,$AD90))</f>
        <v>10</v>
      </c>
      <c r="AT90" s="466">
        <f>RANK(Q90,($H90,$I90,$K90,$L90,$M90,$N90,$O90,$P90,$Q90,$W90,$X90,$Y90,$Z90,$AC90,$AD90))</f>
        <v>12</v>
      </c>
      <c r="AU90" s="466">
        <f>RANK(W90,($H90,$I90,$K90,$L90,$M90,$N90,$O90,$P90,$Q90,$W90,$X90,$Y90,$Z90,$AC90,$AD90))</f>
        <v>5</v>
      </c>
      <c r="AV90" s="457"/>
      <c r="AW90" s="466">
        <f>RANK(Y90,($H90,$I90,$K90,$L90,$M90,$N90,$O90,$P90,$Q90,$W90,$X90,$Y90,$Z90,$AC90,$AD90))</f>
        <v>13</v>
      </c>
      <c r="AX90" s="466">
        <f>RANK(Z90,($H90,$I90,$K90,$L90,$M90,$N90,$O90,$P90,$Q90,$W90,$X90,$Y90,$Z90,$AC90,$AD90))</f>
        <v>4</v>
      </c>
      <c r="AY90" s="465"/>
      <c r="AZ90" s="471">
        <f>RANK(AD90,($H90,$I90,$K90,$L90,$M90,$N90,$O90,$P90,$Q90,$W90,$X90,$Y90,$Z90,$AC90,$AD90))</f>
        <v>3</v>
      </c>
      <c r="BA90" s="461" t="str">
        <f t="shared" si="26"/>
        <v>PRD</v>
      </c>
      <c r="BB90" s="124" t="str">
        <f t="shared" si="27"/>
        <v>ninguno</v>
      </c>
      <c r="BC90" s="124" t="str">
        <f t="shared" si="28"/>
        <v>PRD</v>
      </c>
      <c r="BD90" s="119">
        <f t="shared" si="29"/>
        <v>12255</v>
      </c>
      <c r="BE90" s="119" t="str">
        <f t="shared" si="30"/>
        <v>ninguno</v>
      </c>
      <c r="BF90" s="119">
        <f t="shared" si="31"/>
        <v>12255</v>
      </c>
      <c r="BG90" s="467">
        <f t="shared" si="32"/>
        <v>0.36239169648401692</v>
      </c>
      <c r="BH90" s="468">
        <f t="shared" si="33"/>
        <v>549</v>
      </c>
      <c r="BI90" s="467">
        <f t="shared" si="33"/>
        <v>1.6234438300263165E-2</v>
      </c>
    </row>
    <row r="91" spans="1:61">
      <c r="A91" s="434">
        <v>84</v>
      </c>
      <c r="B91" s="435" t="s">
        <v>100</v>
      </c>
      <c r="C91" s="436">
        <v>8569</v>
      </c>
      <c r="D91" s="434">
        <v>14</v>
      </c>
      <c r="E91" s="434">
        <v>14</v>
      </c>
      <c r="F91" s="437">
        <f t="shared" si="17"/>
        <v>1</v>
      </c>
      <c r="G91" s="455">
        <v>89</v>
      </c>
      <c r="H91" s="456">
        <v>1382</v>
      </c>
      <c r="I91" s="456">
        <v>518</v>
      </c>
      <c r="J91" s="456">
        <v>1091</v>
      </c>
      <c r="K91" s="456">
        <v>22</v>
      </c>
      <c r="L91" s="456">
        <v>1388</v>
      </c>
      <c r="M91" s="456">
        <v>34</v>
      </c>
      <c r="N91" s="456">
        <v>107</v>
      </c>
      <c r="O91" s="465"/>
      <c r="P91" s="456">
        <v>553</v>
      </c>
      <c r="Q91" s="465"/>
      <c r="R91" s="456">
        <v>10</v>
      </c>
      <c r="S91" s="456">
        <v>23</v>
      </c>
      <c r="T91" s="456">
        <v>0</v>
      </c>
      <c r="U91" s="456">
        <v>0</v>
      </c>
      <c r="V91" s="456">
        <v>31</v>
      </c>
      <c r="W91" s="457"/>
      <c r="X91" s="457"/>
      <c r="Y91" s="456">
        <v>2</v>
      </c>
      <c r="Z91" s="456">
        <v>103</v>
      </c>
      <c r="AA91" s="458">
        <f t="shared" si="18"/>
        <v>5353</v>
      </c>
      <c r="AB91" s="459">
        <f t="shared" si="19"/>
        <v>0.62469366320457465</v>
      </c>
      <c r="AC91" s="455">
        <f t="shared" si="20"/>
        <v>1471</v>
      </c>
      <c r="AD91" s="458">
        <f>G91+J91+V91</f>
        <v>1211</v>
      </c>
      <c r="AE91" s="461" t="str">
        <f t="shared" si="21"/>
        <v>otro</v>
      </c>
      <c r="AF91" s="462" t="str">
        <f t="shared" si="22"/>
        <v>PRI-PVEM-NA</v>
      </c>
      <c r="AG91" s="124" t="str">
        <f t="shared" si="23"/>
        <v>PRI-PVEM-NA</v>
      </c>
      <c r="AH91" s="119">
        <f t="shared" si="24"/>
        <v>1471</v>
      </c>
      <c r="AI91" s="463">
        <f t="shared" si="25"/>
        <v>0.27479917803101067</v>
      </c>
      <c r="AJ91" s="470"/>
      <c r="AK91" s="465"/>
      <c r="AL91" s="466">
        <f>RANK(I91,($I91,$L91,$N91,$O91,$P91,$Q91,$W91,$X91,$Y91,$Z91,$AC91,$AD91))</f>
        <v>5</v>
      </c>
      <c r="AM91" s="465"/>
      <c r="AN91" s="457"/>
      <c r="AO91" s="466">
        <f>RANK(L91,($I91,$L91,$N91,$O91,$P91,$Q91,$W91,$X91,$Y91,$Z91,$AC91,$AD91))</f>
        <v>2</v>
      </c>
      <c r="AP91" s="457"/>
      <c r="AQ91" s="466">
        <f>RANK(N91,($I91,$L91,$N91,$O91,$P91,$Q91,$W91,$X91,$Y91,$Z91,$AC91,$AD91))</f>
        <v>6</v>
      </c>
      <c r="AR91" s="457"/>
      <c r="AS91" s="466">
        <f>RANK(P91,($I91,$L91,$N91,$O91,$P91,$Q91,$W91,$X91,$Y91,$Z91,$AC91,$AD91))</f>
        <v>4</v>
      </c>
      <c r="AT91" s="457"/>
      <c r="AU91" s="457"/>
      <c r="AV91" s="457"/>
      <c r="AW91" s="466">
        <f>RANK(Y91,($I91,$L91,$N91,$O91,$P91,$Q91,$W91,$X91,$Y91,$Z91,$AC91,$AD91))</f>
        <v>8</v>
      </c>
      <c r="AX91" s="466">
        <f>RANK(Z91,($I91,$L91,$N91,$O91,$P91,$Q91,$W91,$X91,$Y91,$Z91,$AC91,$AD91))</f>
        <v>7</v>
      </c>
      <c r="AY91" s="466">
        <f>RANK(AC91,($I91,$L91,$N91,$O91,$P91,$Q91,$W91,$X91,$Y91,$Z91,$AC91,$AD91))</f>
        <v>1</v>
      </c>
      <c r="AZ91" s="471">
        <f>RANK(AD91,($I91,$L91,$N91,$O91,$P91,$Q91,$W91,$X91,$Y91,$Z91,$AC91,$AD91))</f>
        <v>3</v>
      </c>
      <c r="BA91" s="461" t="str">
        <f t="shared" si="26"/>
        <v>MC</v>
      </c>
      <c r="BB91" s="124" t="str">
        <f t="shared" si="27"/>
        <v>ninguno</v>
      </c>
      <c r="BC91" s="124" t="str">
        <f t="shared" si="28"/>
        <v>MC</v>
      </c>
      <c r="BD91" s="119">
        <f t="shared" si="29"/>
        <v>1388</v>
      </c>
      <c r="BE91" s="119" t="str">
        <f t="shared" si="30"/>
        <v>ninguno</v>
      </c>
      <c r="BF91" s="119">
        <f t="shared" si="31"/>
        <v>1388</v>
      </c>
      <c r="BG91" s="467">
        <f t="shared" si="32"/>
        <v>0.25929385391369325</v>
      </c>
      <c r="BH91" s="468">
        <f t="shared" si="33"/>
        <v>83</v>
      </c>
      <c r="BI91" s="467">
        <f t="shared" si="33"/>
        <v>1.5505324117317421E-2</v>
      </c>
    </row>
    <row r="92" spans="1:61">
      <c r="A92" s="434">
        <v>85</v>
      </c>
      <c r="B92" s="435" t="s">
        <v>101</v>
      </c>
      <c r="C92" s="436">
        <v>25694</v>
      </c>
      <c r="D92" s="434">
        <v>41</v>
      </c>
      <c r="E92" s="434">
        <v>41</v>
      </c>
      <c r="F92" s="437">
        <f t="shared" si="17"/>
        <v>1</v>
      </c>
      <c r="G92" s="455">
        <v>7424</v>
      </c>
      <c r="H92" s="456">
        <v>5855</v>
      </c>
      <c r="I92" s="456">
        <v>571</v>
      </c>
      <c r="J92" s="456">
        <v>855</v>
      </c>
      <c r="K92" s="456">
        <v>164</v>
      </c>
      <c r="L92" s="456">
        <v>1111</v>
      </c>
      <c r="M92" s="456">
        <v>142</v>
      </c>
      <c r="N92" s="456">
        <v>348</v>
      </c>
      <c r="O92" s="465"/>
      <c r="P92" s="465"/>
      <c r="Q92" s="456">
        <v>42</v>
      </c>
      <c r="R92" s="456">
        <v>19</v>
      </c>
      <c r="S92" s="456">
        <v>59</v>
      </c>
      <c r="T92" s="456">
        <v>1</v>
      </c>
      <c r="U92" s="456">
        <v>1</v>
      </c>
      <c r="V92" s="465"/>
      <c r="W92" s="457"/>
      <c r="X92" s="457"/>
      <c r="Y92" s="456">
        <v>0</v>
      </c>
      <c r="Z92" s="456">
        <v>287</v>
      </c>
      <c r="AA92" s="458">
        <f t="shared" si="18"/>
        <v>16879</v>
      </c>
      <c r="AB92" s="459">
        <f t="shared" si="19"/>
        <v>0.65692379543862378</v>
      </c>
      <c r="AC92" s="455">
        <f t="shared" si="20"/>
        <v>6241</v>
      </c>
      <c r="AD92" s="460"/>
      <c r="AE92" s="461" t="str">
        <f t="shared" si="21"/>
        <v>PAN</v>
      </c>
      <c r="AF92" s="462" t="str">
        <f t="shared" si="22"/>
        <v>ninguno</v>
      </c>
      <c r="AG92" s="124" t="str">
        <f t="shared" si="23"/>
        <v>PAN</v>
      </c>
      <c r="AH92" s="119">
        <f t="shared" si="24"/>
        <v>7424</v>
      </c>
      <c r="AI92" s="463">
        <f t="shared" si="25"/>
        <v>0.43983648320398128</v>
      </c>
      <c r="AJ92" s="464">
        <f>RANK(G92,($G92,$I92,$J92,$L92,$N92,$O92,$P92,$Q92,$W92,$X92,$Y92,$Z92,$AC92))</f>
        <v>1</v>
      </c>
      <c r="AK92" s="465"/>
      <c r="AL92" s="466">
        <f>RANK(I92,($G92,$I92,$J92,$L92,$N92,$O92,$P92,$Q92,$W92,$X92,$Y92,$Z92,$AC92))</f>
        <v>5</v>
      </c>
      <c r="AM92" s="466">
        <f>RANK(J92,($G92,$I92,$J92,$L92,$N92,$O92,$P92,$Q92,$W92,$X92,$Y92,$Z92,$AC92))</f>
        <v>4</v>
      </c>
      <c r="AN92" s="457"/>
      <c r="AO92" s="466">
        <f>RANK(L92,($G92,$I92,$J92,$L92,$N92,$O92,$P92,$Q92,$W92,$X92,$Y92,$Z92,$AC92))</f>
        <v>3</v>
      </c>
      <c r="AP92" s="457"/>
      <c r="AQ92" s="466">
        <f>RANK(N92,($G92,$I92,$J92,$L92,$N92,$O92,$P92,$Q92,$W92,$X92,$Y92,$Z92,$AC92))</f>
        <v>6</v>
      </c>
      <c r="AR92" s="457"/>
      <c r="AS92" s="457"/>
      <c r="AT92" s="466">
        <f>RANK(Q92,($G92,$I92,$J92,$L92,$N92,$O92,$P92,$Q92,$W92,$X92,$Y92,$Z92,$AC92))</f>
        <v>8</v>
      </c>
      <c r="AU92" s="457"/>
      <c r="AV92" s="457"/>
      <c r="AW92" s="466">
        <f>RANK(Y92,($G92,$I92,$J92,$L92,$N92,$O92,$P92,$Q92,$W92,$X92,$Y92,$Z92,$AC92))</f>
        <v>9</v>
      </c>
      <c r="AX92" s="466">
        <f>RANK(Z92,($G92,$I92,$J92,$L92,$N92,$O92,$P92,$Q92,$W92,$X92,$Y92,$Z92,$AC92))</f>
        <v>7</v>
      </c>
      <c r="AY92" s="466">
        <f>RANK(AC92,($G92,$I92,$J92,$L92,$N92,$O92,$P92,$Q92,$W92,$X92,$Y92,$Z92,$AC92))</f>
        <v>2</v>
      </c>
      <c r="AZ92" s="460"/>
      <c r="BA92" s="461" t="str">
        <f t="shared" si="26"/>
        <v>otro</v>
      </c>
      <c r="BB92" s="124" t="str">
        <f t="shared" si="27"/>
        <v>PRI-PVEM-NA</v>
      </c>
      <c r="BC92" s="124" t="str">
        <f t="shared" si="28"/>
        <v>PRI-PVEM-NA</v>
      </c>
      <c r="BD92" s="119" t="str">
        <f t="shared" si="29"/>
        <v>otro</v>
      </c>
      <c r="BE92" s="119">
        <f t="shared" si="30"/>
        <v>6241</v>
      </c>
      <c r="BF92" s="119">
        <f t="shared" si="31"/>
        <v>6241</v>
      </c>
      <c r="BG92" s="467">
        <f t="shared" si="32"/>
        <v>0.36974939273653651</v>
      </c>
      <c r="BH92" s="468">
        <f t="shared" si="33"/>
        <v>1183</v>
      </c>
      <c r="BI92" s="467">
        <f t="shared" si="33"/>
        <v>7.0087090467444768E-2</v>
      </c>
    </row>
    <row r="93" spans="1:61">
      <c r="A93" s="434">
        <v>86</v>
      </c>
      <c r="B93" s="435" t="s">
        <v>102</v>
      </c>
      <c r="C93" s="436">
        <v>45876</v>
      </c>
      <c r="D93" s="434">
        <v>85</v>
      </c>
      <c r="E93" s="434">
        <v>85</v>
      </c>
      <c r="F93" s="437">
        <f t="shared" si="17"/>
        <v>1</v>
      </c>
      <c r="G93" s="455">
        <v>2236</v>
      </c>
      <c r="H93" s="456">
        <v>12361</v>
      </c>
      <c r="I93" s="456">
        <v>12752</v>
      </c>
      <c r="J93" s="456">
        <v>295</v>
      </c>
      <c r="K93" s="456">
        <v>243</v>
      </c>
      <c r="L93" s="456">
        <v>209</v>
      </c>
      <c r="M93" s="456">
        <v>301</v>
      </c>
      <c r="N93" s="456">
        <v>285</v>
      </c>
      <c r="O93" s="456">
        <v>249</v>
      </c>
      <c r="P93" s="456">
        <v>254</v>
      </c>
      <c r="Q93" s="456">
        <v>33</v>
      </c>
      <c r="R93" s="456">
        <v>27</v>
      </c>
      <c r="S93" s="456">
        <v>161</v>
      </c>
      <c r="T93" s="456">
        <v>13</v>
      </c>
      <c r="U93" s="456">
        <v>2</v>
      </c>
      <c r="V93" s="465"/>
      <c r="W93" s="457"/>
      <c r="X93" s="457"/>
      <c r="Y93" s="456">
        <v>12</v>
      </c>
      <c r="Z93" s="456">
        <v>1214</v>
      </c>
      <c r="AA93" s="458">
        <f t="shared" si="18"/>
        <v>30647</v>
      </c>
      <c r="AB93" s="459">
        <f t="shared" si="19"/>
        <v>0.6680399337344145</v>
      </c>
      <c r="AC93" s="455">
        <f t="shared" si="20"/>
        <v>13108</v>
      </c>
      <c r="AD93" s="460"/>
      <c r="AE93" s="461" t="str">
        <f t="shared" si="21"/>
        <v>otro</v>
      </c>
      <c r="AF93" s="462" t="str">
        <f t="shared" si="22"/>
        <v>PRI-PVEM-NA</v>
      </c>
      <c r="AG93" s="124" t="str">
        <f t="shared" si="23"/>
        <v>PRI-PVEM-NA</v>
      </c>
      <c r="AH93" s="119">
        <f t="shared" si="24"/>
        <v>13108</v>
      </c>
      <c r="AI93" s="463">
        <f t="shared" si="25"/>
        <v>0.42770907429764743</v>
      </c>
      <c r="AJ93" s="464">
        <f>RANK(G93,($G93,$I93,$J93,$L93,$N93,$O93,$P93,$Q93,$W93,$X93,$Y93,$Z93,$AC93))</f>
        <v>3</v>
      </c>
      <c r="AK93" s="465"/>
      <c r="AL93" s="466">
        <f>RANK(I93,($G93,$I93,$J93,$L93,$N93,$O93,$P93,$Q93,$W93,$X93,$Y93,$Z93,$AC93))</f>
        <v>2</v>
      </c>
      <c r="AM93" s="466">
        <f>RANK(J93,($G93,$I93,$J93,$L93,$N93,$O93,$P93,$Q93,$W93,$X93,$Y93,$Z93,$AC93))</f>
        <v>5</v>
      </c>
      <c r="AN93" s="457"/>
      <c r="AO93" s="466">
        <f>RANK(L93,($G93,$I93,$J93,$L93,$N93,$O93,$P93,$Q93,$W93,$X93,$Y93,$Z93,$AC93))</f>
        <v>9</v>
      </c>
      <c r="AP93" s="457"/>
      <c r="AQ93" s="466">
        <f>RANK(N93,($G93,$I93,$J93,$L93,$N93,$O93,$P93,$Q93,$W93,$X93,$Y93,$Z93,$AC93))</f>
        <v>6</v>
      </c>
      <c r="AR93" s="466">
        <f>RANK(O93,($G93,$I93,$J93,$L93,$N93,$O93,$P93,$Q93,$W93,$X93,$Y93,$Z93,$AC93))</f>
        <v>8</v>
      </c>
      <c r="AS93" s="466">
        <f>RANK(P93,($G93,$I93,$J93,$L93,$N93,$O93,$P93,$Q93,$W93,$X93,$Y93,$Z93,$AC93))</f>
        <v>7</v>
      </c>
      <c r="AT93" s="466">
        <f>RANK(Q93,($G93,$I93,$J93,$L93,$N93,$O93,$P93,$Q93,$W93,$X93,$Y93,$Z93,$AC93))</f>
        <v>10</v>
      </c>
      <c r="AU93" s="457"/>
      <c r="AV93" s="457"/>
      <c r="AW93" s="466">
        <f>RANK(Y93,($G93,$I93,$J93,$L93,$N93,$O93,$P93,$Q93,$W93,$X93,$Y93,$Z93,$AC93))</f>
        <v>11</v>
      </c>
      <c r="AX93" s="466">
        <f>RANK(Z93,($G93,$I93,$J93,$L93,$N93,$O93,$P93,$Q93,$W93,$X93,$Y93,$Z93,$AC93))</f>
        <v>4</v>
      </c>
      <c r="AY93" s="466">
        <f>RANK(AC93,($G93,$I93,$J93,$L93,$N93,$O93,$P93,$Q93,$W93,$X93,$Y93,$Z93,$AC93))</f>
        <v>1</v>
      </c>
      <c r="AZ93" s="460"/>
      <c r="BA93" s="461" t="str">
        <f t="shared" si="26"/>
        <v>PRD</v>
      </c>
      <c r="BB93" s="124" t="str">
        <f t="shared" si="27"/>
        <v>ninguno</v>
      </c>
      <c r="BC93" s="124" t="str">
        <f t="shared" si="28"/>
        <v>PRD</v>
      </c>
      <c r="BD93" s="119">
        <f t="shared" si="29"/>
        <v>12752</v>
      </c>
      <c r="BE93" s="119" t="str">
        <f t="shared" si="30"/>
        <v>ninguno</v>
      </c>
      <c r="BF93" s="119">
        <f t="shared" si="31"/>
        <v>12752</v>
      </c>
      <c r="BG93" s="467">
        <f t="shared" si="32"/>
        <v>0.41609292916109242</v>
      </c>
      <c r="BH93" s="468">
        <f t="shared" si="33"/>
        <v>356</v>
      </c>
      <c r="BI93" s="467">
        <f t="shared" si="33"/>
        <v>1.1616145136555012E-2</v>
      </c>
    </row>
    <row r="94" spans="1:61">
      <c r="A94" s="434">
        <v>87</v>
      </c>
      <c r="B94" s="435" t="s">
        <v>104</v>
      </c>
      <c r="C94" s="436">
        <v>22222</v>
      </c>
      <c r="D94" s="434">
        <v>45</v>
      </c>
      <c r="E94" s="434">
        <v>45</v>
      </c>
      <c r="F94" s="437">
        <f t="shared" si="17"/>
        <v>1</v>
      </c>
      <c r="G94" s="455">
        <v>4450</v>
      </c>
      <c r="H94" s="456">
        <v>6661</v>
      </c>
      <c r="I94" s="456">
        <v>3702</v>
      </c>
      <c r="J94" s="456">
        <v>117</v>
      </c>
      <c r="K94" s="456">
        <v>185</v>
      </c>
      <c r="L94" s="456">
        <v>29</v>
      </c>
      <c r="M94" s="456">
        <v>206</v>
      </c>
      <c r="N94" s="456">
        <v>135</v>
      </c>
      <c r="O94" s="465"/>
      <c r="P94" s="465"/>
      <c r="Q94" s="456">
        <v>19</v>
      </c>
      <c r="R94" s="465"/>
      <c r="S94" s="465"/>
      <c r="T94" s="465"/>
      <c r="U94" s="465"/>
      <c r="V94" s="456">
        <v>18</v>
      </c>
      <c r="W94" s="457"/>
      <c r="X94" s="457"/>
      <c r="Y94" s="456">
        <v>2</v>
      </c>
      <c r="Z94" s="456">
        <v>433</v>
      </c>
      <c r="AA94" s="458">
        <f t="shared" si="18"/>
        <v>15957</v>
      </c>
      <c r="AB94" s="459">
        <f t="shared" si="19"/>
        <v>0.71807218072180723</v>
      </c>
      <c r="AC94" s="470"/>
      <c r="AD94" s="458">
        <f>G94+J94+V94</f>
        <v>4585</v>
      </c>
      <c r="AE94" s="461" t="str">
        <f t="shared" si="21"/>
        <v>PRI</v>
      </c>
      <c r="AF94" s="462" t="str">
        <f t="shared" si="22"/>
        <v>ninguno</v>
      </c>
      <c r="AG94" s="124" t="str">
        <f t="shared" si="23"/>
        <v>PRI</v>
      </c>
      <c r="AH94" s="119">
        <f t="shared" si="24"/>
        <v>6661</v>
      </c>
      <c r="AI94" s="463">
        <f t="shared" si="25"/>
        <v>0.41743435482860186</v>
      </c>
      <c r="AJ94" s="470"/>
      <c r="AK94" s="466">
        <f>RANK(H94,($H94,$I94,$K94,$L94,$M94,$N94,$O94,$P94,$Q94,$W94,$X94,$Y94,$Z94,$AC94,$AD94))</f>
        <v>1</v>
      </c>
      <c r="AL94" s="466">
        <f>RANK(I94,($H94,$I94,$K94,$L94,$M94,$N94,$O94,$P94,$Q94,$W94,$X94,$Y94,$Z94,$AC94,$AD94))</f>
        <v>3</v>
      </c>
      <c r="AM94" s="465"/>
      <c r="AN94" s="466">
        <f>RANK(K94,($H94,$I94,$K94,$L94,$M94,$N94,$O94,$P94,$Q94,$W94,$X94,$Y94,$Z94,$AC94,$AD94))</f>
        <v>6</v>
      </c>
      <c r="AO94" s="466">
        <f>RANK(L94,($H94,$I94,$K94,$L94,$M94,$N94,$O94,$P94,$Q94,$W94,$X94,$Y94,$Z94,$AC94,$AD94))</f>
        <v>8</v>
      </c>
      <c r="AP94" s="466">
        <f>RANK(M94,($H94,$I94,$K94,$L94,$M94,$N94,$O94,$P94,$Q94,$W94,$X94,$Y94,$Z94,$AC94,$AD94))</f>
        <v>5</v>
      </c>
      <c r="AQ94" s="466">
        <f>RANK(N94,($H94,$I94,$K94,$L94,$M94,$N94,$O94,$P94,$Q94,$W94,$X94,$Y94,$Z94,$AC94,$AD94))</f>
        <v>7</v>
      </c>
      <c r="AR94" s="457"/>
      <c r="AS94" s="457"/>
      <c r="AT94" s="466">
        <f>RANK(Q94,($H94,$I94,$K94,$L94,$M94,$N94,$O94,$P94,$Q94,$W94,$X94,$Y94,$Z94,$AC94,$AD94))</f>
        <v>9</v>
      </c>
      <c r="AU94" s="457"/>
      <c r="AV94" s="457"/>
      <c r="AW94" s="466">
        <f>RANK(Y94,($H94,$I94,$K94,$L94,$M94,$N94,$O94,$P94,$Q94,$W94,$X94,$Y94,$Z94,$AC94,$AD94))</f>
        <v>10</v>
      </c>
      <c r="AX94" s="466">
        <f>RANK(Z94,($H94,$I94,$K94,$L94,$M94,$N94,$O94,$P94,$Q94,$W94,$X94,$Y94,$Z94,$AC94,$AD94))</f>
        <v>4</v>
      </c>
      <c r="AY94" s="465"/>
      <c r="AZ94" s="471">
        <f>RANK(AD94,($H94,$I94,$K94,$L94,$M94,$N94,$O94,$P94,$Q94,$W94,$X94,$Y94,$Z94,$AC94,$AD94))</f>
        <v>2</v>
      </c>
      <c r="BA94" s="461" t="str">
        <f t="shared" si="26"/>
        <v>otro</v>
      </c>
      <c r="BB94" s="124" t="str">
        <f t="shared" si="27"/>
        <v>PAN-PT</v>
      </c>
      <c r="BC94" s="124" t="str">
        <f t="shared" si="28"/>
        <v>PAN-PT</v>
      </c>
      <c r="BD94" s="119" t="str">
        <f t="shared" si="29"/>
        <v>otro</v>
      </c>
      <c r="BE94" s="119">
        <f t="shared" si="30"/>
        <v>4585</v>
      </c>
      <c r="BF94" s="119">
        <f t="shared" si="31"/>
        <v>4585</v>
      </c>
      <c r="BG94" s="467">
        <f t="shared" si="32"/>
        <v>0.28733471203860372</v>
      </c>
      <c r="BH94" s="468">
        <f t="shared" si="33"/>
        <v>2076</v>
      </c>
      <c r="BI94" s="467">
        <f t="shared" si="33"/>
        <v>0.13009964278999814</v>
      </c>
    </row>
    <row r="95" spans="1:61">
      <c r="A95" s="434">
        <v>88</v>
      </c>
      <c r="B95" s="435" t="s">
        <v>105</v>
      </c>
      <c r="C95" s="436">
        <v>60456</v>
      </c>
      <c r="D95" s="434">
        <v>98</v>
      </c>
      <c r="E95" s="434">
        <v>98</v>
      </c>
      <c r="F95" s="437">
        <f t="shared" si="17"/>
        <v>1</v>
      </c>
      <c r="G95" s="455">
        <v>2867</v>
      </c>
      <c r="H95" s="456">
        <v>9907</v>
      </c>
      <c r="I95" s="456">
        <v>704</v>
      </c>
      <c r="J95" s="456">
        <v>1628</v>
      </c>
      <c r="K95" s="456">
        <v>1017</v>
      </c>
      <c r="L95" s="456">
        <v>10219</v>
      </c>
      <c r="M95" s="456">
        <v>383</v>
      </c>
      <c r="N95" s="456">
        <v>1750</v>
      </c>
      <c r="O95" s="456">
        <v>417</v>
      </c>
      <c r="P95" s="456">
        <v>545</v>
      </c>
      <c r="Q95" s="456">
        <v>75</v>
      </c>
      <c r="R95" s="456">
        <v>30</v>
      </c>
      <c r="S95" s="456">
        <v>136</v>
      </c>
      <c r="T95" s="456">
        <v>7</v>
      </c>
      <c r="U95" s="456">
        <v>9</v>
      </c>
      <c r="V95" s="456">
        <v>188</v>
      </c>
      <c r="W95" s="457"/>
      <c r="X95" s="457"/>
      <c r="Y95" s="456">
        <v>13</v>
      </c>
      <c r="Z95" s="456">
        <v>1344</v>
      </c>
      <c r="AA95" s="458">
        <f t="shared" si="18"/>
        <v>31239</v>
      </c>
      <c r="AB95" s="459">
        <f t="shared" si="19"/>
        <v>0.51672290591504566</v>
      </c>
      <c r="AC95" s="455">
        <f t="shared" si="20"/>
        <v>11489</v>
      </c>
      <c r="AD95" s="458">
        <f>G95+J95+V95</f>
        <v>4683</v>
      </c>
      <c r="AE95" s="461" t="str">
        <f t="shared" si="21"/>
        <v>otro</v>
      </c>
      <c r="AF95" s="462" t="str">
        <f t="shared" si="22"/>
        <v>PRI-PVEM-NA</v>
      </c>
      <c r="AG95" s="124" t="str">
        <f t="shared" si="23"/>
        <v>PRI-PVEM-NA</v>
      </c>
      <c r="AH95" s="119">
        <f t="shared" si="24"/>
        <v>11489</v>
      </c>
      <c r="AI95" s="463">
        <f t="shared" si="25"/>
        <v>0.36777745766509812</v>
      </c>
      <c r="AJ95" s="470"/>
      <c r="AK95" s="465"/>
      <c r="AL95" s="466">
        <f>RANK(I95,($I95,$L95,$N95,$O95,$P95,$Q95,$W95,$X95,$Y95,$Z95,$AC95,$AD95))</f>
        <v>6</v>
      </c>
      <c r="AM95" s="465"/>
      <c r="AN95" s="457"/>
      <c r="AO95" s="466">
        <f>RANK(L95,($I95,$L95,$N95,$O95,$P95,$Q95,$W95,$X95,$Y95,$Z95,$AC95,$AD95))</f>
        <v>2</v>
      </c>
      <c r="AP95" s="457"/>
      <c r="AQ95" s="466">
        <f>RANK(N95,($I95,$L95,$N95,$O95,$P95,$Q95,$W95,$X95,$Y95,$Z95,$AC95,$AD95))</f>
        <v>4</v>
      </c>
      <c r="AR95" s="466">
        <f>RANK(O95,($I95,$L95,$N95,$O95,$P95,$Q95,$W95,$X95,$Y95,$Z95,$AC95,$AD95))</f>
        <v>8</v>
      </c>
      <c r="AS95" s="466">
        <f>RANK(P95,($I95,$L95,$N95,$O95,$P95,$Q95,$W95,$X95,$Y95,$Z95,$AC95,$AD95))</f>
        <v>7</v>
      </c>
      <c r="AT95" s="466">
        <f>RANK(Q95,($I95,$L95,$N95,$O95,$P95,$Q95,$W95,$X95,$Y95,$Z95,$AC95,$AD95))</f>
        <v>9</v>
      </c>
      <c r="AU95" s="457"/>
      <c r="AV95" s="457"/>
      <c r="AW95" s="466">
        <f>RANK(Y95,($I95,$L95,$N95,$O95,$P95,$Q95,$W95,$X95,$Y95,$Z95,$AC95,$AD95))</f>
        <v>10</v>
      </c>
      <c r="AX95" s="466">
        <f>RANK(Z95,($I95,$L95,$N95,$O95,$P95,$Q95,$W95,$X95,$Y95,$Z95,$AC95,$AD95))</f>
        <v>5</v>
      </c>
      <c r="AY95" s="466">
        <f>RANK(AC95,($I95,$L95,$N95,$O95,$P95,$Q95,$W95,$X95,$Y95,$Z95,$AC95,$AD95))</f>
        <v>1</v>
      </c>
      <c r="AZ95" s="471">
        <f>RANK(AD95,($I95,$L95,$N95,$O95,$P95,$Q95,$W95,$X95,$Y95,$Z95,$AC95,$AD95))</f>
        <v>3</v>
      </c>
      <c r="BA95" s="461" t="str">
        <f t="shared" si="26"/>
        <v>MC</v>
      </c>
      <c r="BB95" s="124" t="str">
        <f t="shared" si="27"/>
        <v>ninguno</v>
      </c>
      <c r="BC95" s="124" t="str">
        <f t="shared" si="28"/>
        <v>MC</v>
      </c>
      <c r="BD95" s="119">
        <f t="shared" si="29"/>
        <v>10219</v>
      </c>
      <c r="BE95" s="119" t="str">
        <f t="shared" si="30"/>
        <v>ninguno</v>
      </c>
      <c r="BF95" s="119">
        <f t="shared" si="31"/>
        <v>10219</v>
      </c>
      <c r="BG95" s="467">
        <f t="shared" si="32"/>
        <v>0.32712314734786646</v>
      </c>
      <c r="BH95" s="468">
        <f t="shared" si="33"/>
        <v>1270</v>
      </c>
      <c r="BI95" s="467">
        <f t="shared" si="33"/>
        <v>4.0654310317231657E-2</v>
      </c>
    </row>
    <row r="96" spans="1:61">
      <c r="A96" s="434">
        <v>89</v>
      </c>
      <c r="B96" s="435" t="s">
        <v>107</v>
      </c>
      <c r="C96" s="436">
        <v>64952</v>
      </c>
      <c r="D96" s="434">
        <v>108</v>
      </c>
      <c r="E96" s="434">
        <v>108</v>
      </c>
      <c r="F96" s="437">
        <f t="shared" si="17"/>
        <v>1</v>
      </c>
      <c r="G96" s="455">
        <v>5978</v>
      </c>
      <c r="H96" s="456">
        <v>12877</v>
      </c>
      <c r="I96" s="456">
        <v>2920</v>
      </c>
      <c r="J96" s="456">
        <v>2808</v>
      </c>
      <c r="K96" s="456">
        <v>573</v>
      </c>
      <c r="L96" s="456">
        <v>2262</v>
      </c>
      <c r="M96" s="456">
        <v>819</v>
      </c>
      <c r="N96" s="456">
        <v>4986</v>
      </c>
      <c r="O96" s="456">
        <v>990</v>
      </c>
      <c r="P96" s="456">
        <v>695</v>
      </c>
      <c r="Q96" s="456">
        <v>169</v>
      </c>
      <c r="R96" s="456">
        <v>175</v>
      </c>
      <c r="S96" s="456">
        <v>55</v>
      </c>
      <c r="T96" s="456">
        <v>8</v>
      </c>
      <c r="U96" s="456">
        <v>1</v>
      </c>
      <c r="V96" s="465"/>
      <c r="W96" s="457"/>
      <c r="X96" s="457"/>
      <c r="Y96" s="456">
        <v>12</v>
      </c>
      <c r="Z96" s="456">
        <v>1434</v>
      </c>
      <c r="AA96" s="458">
        <f t="shared" si="18"/>
        <v>36762</v>
      </c>
      <c r="AB96" s="459">
        <f t="shared" si="19"/>
        <v>0.56598719054070701</v>
      </c>
      <c r="AC96" s="455">
        <f t="shared" si="20"/>
        <v>14508</v>
      </c>
      <c r="AD96" s="460"/>
      <c r="AE96" s="461" t="str">
        <f t="shared" si="21"/>
        <v>otro</v>
      </c>
      <c r="AF96" s="462" t="str">
        <f t="shared" si="22"/>
        <v>PRI-PVEM-NA</v>
      </c>
      <c r="AG96" s="124" t="str">
        <f t="shared" si="23"/>
        <v>PRI-PVEM-NA</v>
      </c>
      <c r="AH96" s="119">
        <f t="shared" si="24"/>
        <v>14508</v>
      </c>
      <c r="AI96" s="463">
        <f t="shared" si="25"/>
        <v>0.39464664599314508</v>
      </c>
      <c r="AJ96" s="464">
        <f>RANK(G96,($G96,$I96,$J96,$L96,$N96,$O96,$P96,$Q96,$W96,$X96,$Y96,$Z96,$AC96))</f>
        <v>2</v>
      </c>
      <c r="AK96" s="465"/>
      <c r="AL96" s="466">
        <f>RANK(I96,($G96,$I96,$J96,$L96,$N96,$O96,$P96,$Q96,$W96,$X96,$Y96,$Z96,$AC96))</f>
        <v>4</v>
      </c>
      <c r="AM96" s="466">
        <f>RANK(J96,($G96,$I96,$J96,$L96,$N96,$O96,$P96,$Q96,$W96,$X96,$Y96,$Z96,$AC96))</f>
        <v>5</v>
      </c>
      <c r="AN96" s="457"/>
      <c r="AO96" s="466">
        <f>RANK(L96,($G96,$I96,$J96,$L96,$N96,$O96,$P96,$Q96,$W96,$X96,$Y96,$Z96,$AC96))</f>
        <v>6</v>
      </c>
      <c r="AP96" s="457"/>
      <c r="AQ96" s="466">
        <f>RANK(N96,($G96,$I96,$J96,$L96,$N96,$O96,$P96,$Q96,$W96,$X96,$Y96,$Z96,$AC96))</f>
        <v>3</v>
      </c>
      <c r="AR96" s="466">
        <f>RANK(O96,($G96,$I96,$J96,$L96,$N96,$O96,$P96,$Q96,$W96,$X96,$Y96,$Z96,$AC96))</f>
        <v>8</v>
      </c>
      <c r="AS96" s="466">
        <f>RANK(P96,($G96,$I96,$J96,$L96,$N96,$O96,$P96,$Q96,$W96,$X96,$Y96,$Z96,$AC96))</f>
        <v>9</v>
      </c>
      <c r="AT96" s="466">
        <f>RANK(Q96,($G96,$I96,$J96,$L96,$N96,$O96,$P96,$Q96,$W96,$X96,$Y96,$Z96,$AC96))</f>
        <v>10</v>
      </c>
      <c r="AU96" s="457"/>
      <c r="AV96" s="457"/>
      <c r="AW96" s="466">
        <f>RANK(Y96,($G96,$I96,$J96,$L96,$N96,$O96,$P96,$Q96,$W96,$X96,$Y96,$Z96,$AC96))</f>
        <v>11</v>
      </c>
      <c r="AX96" s="466">
        <f>RANK(Z96,($G96,$I96,$J96,$L96,$N96,$O96,$P96,$Q96,$W96,$X96,$Y96,$Z96,$AC96))</f>
        <v>7</v>
      </c>
      <c r="AY96" s="466">
        <f>RANK(AC96,($G96,$I96,$J96,$L96,$N96,$O96,$P96,$Q96,$W96,$X96,$Y96,$Z96,$AC96))</f>
        <v>1</v>
      </c>
      <c r="AZ96" s="460"/>
      <c r="BA96" s="461" t="str">
        <f t="shared" si="26"/>
        <v>PAN</v>
      </c>
      <c r="BB96" s="124" t="str">
        <f t="shared" si="27"/>
        <v>ninguno</v>
      </c>
      <c r="BC96" s="124" t="str">
        <f t="shared" si="28"/>
        <v>PAN</v>
      </c>
      <c r="BD96" s="119">
        <f t="shared" si="29"/>
        <v>5978</v>
      </c>
      <c r="BE96" s="119" t="str">
        <f t="shared" si="30"/>
        <v>ninguno</v>
      </c>
      <c r="BF96" s="119">
        <f t="shared" si="31"/>
        <v>5978</v>
      </c>
      <c r="BG96" s="467">
        <f t="shared" si="32"/>
        <v>0.16261356835863119</v>
      </c>
      <c r="BH96" s="468">
        <f t="shared" si="33"/>
        <v>8530</v>
      </c>
      <c r="BI96" s="467">
        <f t="shared" si="33"/>
        <v>0.23203307763451389</v>
      </c>
    </row>
    <row r="97" spans="1:61">
      <c r="A97" s="434">
        <v>90</v>
      </c>
      <c r="B97" s="435" t="s">
        <v>108</v>
      </c>
      <c r="C97" s="436">
        <v>7675</v>
      </c>
      <c r="D97" s="434">
        <v>13</v>
      </c>
      <c r="E97" s="434">
        <v>13</v>
      </c>
      <c r="F97" s="437">
        <f t="shared" si="17"/>
        <v>1</v>
      </c>
      <c r="G97" s="455">
        <v>1717</v>
      </c>
      <c r="H97" s="456">
        <v>1271</v>
      </c>
      <c r="I97" s="456">
        <v>56</v>
      </c>
      <c r="J97" s="456">
        <v>983</v>
      </c>
      <c r="K97" s="456">
        <v>23</v>
      </c>
      <c r="L97" s="456">
        <v>486</v>
      </c>
      <c r="M97" s="456">
        <v>33</v>
      </c>
      <c r="N97" s="456">
        <v>112</v>
      </c>
      <c r="O97" s="465"/>
      <c r="P97" s="456">
        <v>707</v>
      </c>
      <c r="Q97" s="465"/>
      <c r="R97" s="456">
        <v>1</v>
      </c>
      <c r="S97" s="456">
        <v>4</v>
      </c>
      <c r="T97" s="456">
        <v>0</v>
      </c>
      <c r="U97" s="456">
        <v>0</v>
      </c>
      <c r="V97" s="465"/>
      <c r="W97" s="457"/>
      <c r="X97" s="457"/>
      <c r="Y97" s="456">
        <v>0</v>
      </c>
      <c r="Z97" s="456">
        <v>109</v>
      </c>
      <c r="AA97" s="458">
        <f t="shared" si="18"/>
        <v>5502</v>
      </c>
      <c r="AB97" s="459">
        <f t="shared" si="19"/>
        <v>0.71687296416938107</v>
      </c>
      <c r="AC97" s="455">
        <f t="shared" si="20"/>
        <v>1332</v>
      </c>
      <c r="AD97" s="460"/>
      <c r="AE97" s="461" t="str">
        <f t="shared" si="21"/>
        <v>PAN</v>
      </c>
      <c r="AF97" s="462" t="str">
        <f t="shared" si="22"/>
        <v>ninguno</v>
      </c>
      <c r="AG97" s="124" t="str">
        <f t="shared" si="23"/>
        <v>PAN</v>
      </c>
      <c r="AH97" s="119">
        <f t="shared" si="24"/>
        <v>1717</v>
      </c>
      <c r="AI97" s="463">
        <f t="shared" si="25"/>
        <v>0.31206833878589602</v>
      </c>
      <c r="AJ97" s="464">
        <f>RANK(G97,($G97,$I97,$J97,$L97,$N97,$O97,$P97,$Q97,$W97,$X97,$Y97,$Z97,$AC97))</f>
        <v>1</v>
      </c>
      <c r="AK97" s="465"/>
      <c r="AL97" s="466">
        <f>RANK(I97,($G97,$I97,$J97,$L97,$N97,$O97,$P97,$Q97,$W97,$X97,$Y97,$Z97,$AC97))</f>
        <v>8</v>
      </c>
      <c r="AM97" s="466">
        <f>RANK(J97,($G97,$I97,$J97,$L97,$N97,$O97,$P97,$Q97,$W97,$X97,$Y97,$Z97,$AC97))</f>
        <v>3</v>
      </c>
      <c r="AN97" s="457"/>
      <c r="AO97" s="466">
        <f>RANK(L97,($G97,$I97,$J97,$L97,$N97,$O97,$P97,$Q97,$W97,$X97,$Y97,$Z97,$AC97))</f>
        <v>5</v>
      </c>
      <c r="AP97" s="457"/>
      <c r="AQ97" s="466">
        <f>RANK(N97,($G97,$I97,$J97,$L97,$N97,$O97,$P97,$Q97,$W97,$X97,$Y97,$Z97,$AC97))</f>
        <v>6</v>
      </c>
      <c r="AR97" s="457"/>
      <c r="AS97" s="466">
        <f>RANK(P97,($G97,$I97,$J97,$L97,$N97,$O97,$P97,$Q97,$W97,$X97,$Y97,$Z97,$AC97))</f>
        <v>4</v>
      </c>
      <c r="AT97" s="457"/>
      <c r="AU97" s="457"/>
      <c r="AV97" s="457"/>
      <c r="AW97" s="466">
        <f>RANK(Y97,($G97,$I97,$J97,$L97,$N97,$O97,$P97,$Q97,$W97,$X97,$Y97,$Z97,$AC97))</f>
        <v>9</v>
      </c>
      <c r="AX97" s="466">
        <f>RANK(Z97,($G97,$I97,$J97,$L97,$N97,$O97,$P97,$Q97,$W97,$X97,$Y97,$Z97,$AC97))</f>
        <v>7</v>
      </c>
      <c r="AY97" s="466">
        <f>RANK(AC97,($G97,$I97,$J97,$L97,$N97,$O97,$P97,$Q97,$W97,$X97,$Y97,$Z97,$AC97))</f>
        <v>2</v>
      </c>
      <c r="AZ97" s="460"/>
      <c r="BA97" s="461" t="str">
        <f t="shared" si="26"/>
        <v>otro</v>
      </c>
      <c r="BB97" s="124" t="str">
        <f t="shared" si="27"/>
        <v>PRI-PVEM-NA</v>
      </c>
      <c r="BC97" s="124" t="str">
        <f t="shared" si="28"/>
        <v>PRI-PVEM-NA</v>
      </c>
      <c r="BD97" s="119" t="str">
        <f t="shared" si="29"/>
        <v>otro</v>
      </c>
      <c r="BE97" s="119">
        <f t="shared" si="30"/>
        <v>1332</v>
      </c>
      <c r="BF97" s="119">
        <f t="shared" si="31"/>
        <v>1332</v>
      </c>
      <c r="BG97" s="467">
        <f t="shared" si="32"/>
        <v>0.24209378407851689</v>
      </c>
      <c r="BH97" s="468">
        <f t="shared" si="33"/>
        <v>385</v>
      </c>
      <c r="BI97" s="467">
        <f t="shared" si="33"/>
        <v>6.9974554707379122E-2</v>
      </c>
    </row>
    <row r="98" spans="1:61">
      <c r="A98" s="434">
        <v>91</v>
      </c>
      <c r="B98" s="435" t="s">
        <v>109</v>
      </c>
      <c r="C98" s="436">
        <v>54452</v>
      </c>
      <c r="D98" s="434">
        <v>86</v>
      </c>
      <c r="E98" s="434">
        <v>86</v>
      </c>
      <c r="F98" s="437">
        <f t="shared" si="17"/>
        <v>1</v>
      </c>
      <c r="G98" s="455">
        <v>1006</v>
      </c>
      <c r="H98" s="456">
        <v>9240</v>
      </c>
      <c r="I98" s="456">
        <v>6843</v>
      </c>
      <c r="J98" s="456">
        <v>6346</v>
      </c>
      <c r="K98" s="456">
        <v>262</v>
      </c>
      <c r="L98" s="456">
        <v>262</v>
      </c>
      <c r="M98" s="456">
        <v>924</v>
      </c>
      <c r="N98" s="456">
        <v>692</v>
      </c>
      <c r="O98" s="456">
        <v>913</v>
      </c>
      <c r="P98" s="456">
        <v>493</v>
      </c>
      <c r="Q98" s="456">
        <v>1958</v>
      </c>
      <c r="R98" s="465"/>
      <c r="S98" s="465"/>
      <c r="T98" s="465"/>
      <c r="U98" s="465"/>
      <c r="V98" s="456">
        <v>317</v>
      </c>
      <c r="W98" s="457"/>
      <c r="X98" s="457"/>
      <c r="Y98" s="456">
        <v>18</v>
      </c>
      <c r="Z98" s="456">
        <v>946</v>
      </c>
      <c r="AA98" s="458">
        <f t="shared" si="18"/>
        <v>30220</v>
      </c>
      <c r="AB98" s="459">
        <f t="shared" si="19"/>
        <v>0.55498420627341516</v>
      </c>
      <c r="AC98" s="470"/>
      <c r="AD98" s="458">
        <f>G98+J98+V98</f>
        <v>7669</v>
      </c>
      <c r="AE98" s="461" t="str">
        <f t="shared" si="21"/>
        <v>PRI</v>
      </c>
      <c r="AF98" s="462" t="str">
        <f t="shared" si="22"/>
        <v>ninguno</v>
      </c>
      <c r="AG98" s="124" t="str">
        <f t="shared" si="23"/>
        <v>PRI</v>
      </c>
      <c r="AH98" s="119">
        <f t="shared" si="24"/>
        <v>9240</v>
      </c>
      <c r="AI98" s="463">
        <f t="shared" si="25"/>
        <v>0.3057577763070814</v>
      </c>
      <c r="AJ98" s="470"/>
      <c r="AK98" s="466">
        <f>RANK(H98,($H98,$I98,$K98,$L98,$M98,$N98,$O98,$P98,$Q98,$W98,$X98,$Y98,$Z98,$AC98,$AD98))</f>
        <v>1</v>
      </c>
      <c r="AL98" s="466">
        <f>RANK(I98,($H98,$I98,$K98,$L98,$M98,$N98,$O98,$P98,$Q98,$W98,$X98,$Y98,$Z98,$AC98,$AD98))</f>
        <v>3</v>
      </c>
      <c r="AM98" s="465"/>
      <c r="AN98" s="466">
        <f>RANK(K98,($H98,$I98,$K98,$L98,$M98,$N98,$O98,$P98,$Q98,$W98,$X98,$Y98,$Z98,$AC98,$AD98))</f>
        <v>10</v>
      </c>
      <c r="AO98" s="466">
        <f>RANK(L98,($H98,$I98,$K98,$L98,$M98,$N98,$O98,$P98,$Q98,$W98,$X98,$Y98,$Z98,$AC98,$AD98))</f>
        <v>10</v>
      </c>
      <c r="AP98" s="466">
        <f>RANK(M98,($H98,$I98,$K98,$L98,$M98,$N98,$O98,$P98,$Q98,$W98,$X98,$Y98,$Z98,$AC98,$AD98))</f>
        <v>6</v>
      </c>
      <c r="AQ98" s="466">
        <f>RANK(N98,($H98,$I98,$K98,$L98,$M98,$N98,$O98,$P98,$Q98,$W98,$X98,$Y98,$Z98,$AC98,$AD98))</f>
        <v>8</v>
      </c>
      <c r="AR98" s="466">
        <f>RANK(O98,($H98,$I98,$K98,$L98,$M98,$N98,$O98,$P98,$Q98,$W98,$X98,$Y98,$Z98,$AC98,$AD98))</f>
        <v>7</v>
      </c>
      <c r="AS98" s="466">
        <f>RANK(P98,($H98,$I98,$K98,$L98,$M98,$N98,$O98,$P98,$Q98,$W98,$X98,$Y98,$Z98,$AC98,$AD98))</f>
        <v>9</v>
      </c>
      <c r="AT98" s="466">
        <f>RANK(Q98,($H98,$I98,$K98,$L98,$M98,$N98,$O98,$P98,$Q98,$W98,$X98,$Y98,$Z98,$AC98,$AD98))</f>
        <v>4</v>
      </c>
      <c r="AU98" s="457"/>
      <c r="AV98" s="457"/>
      <c r="AW98" s="466">
        <f>RANK(Y98,($H98,$I98,$K98,$L98,$M98,$N98,$O98,$P98,$Q98,$W98,$X98,$Y98,$Z98,$AC98,$AD98))</f>
        <v>12</v>
      </c>
      <c r="AX98" s="466">
        <f>RANK(Z98,($H98,$I98,$K98,$L98,$M98,$N98,$O98,$P98,$Q98,$W98,$X98,$Y98,$Z98,$AC98,$AD98))</f>
        <v>5</v>
      </c>
      <c r="AY98" s="465"/>
      <c r="AZ98" s="471">
        <f>RANK(AD98,($H98,$I98,$K98,$L98,$M98,$N98,$O98,$P98,$Q98,$W98,$X98,$Y98,$Z98,$AC98,$AD98))</f>
        <v>2</v>
      </c>
      <c r="BA98" s="461" t="str">
        <f t="shared" si="26"/>
        <v>otro</v>
      </c>
      <c r="BB98" s="124" t="str">
        <f t="shared" si="27"/>
        <v>PAN-PT</v>
      </c>
      <c r="BC98" s="124" t="str">
        <f t="shared" si="28"/>
        <v>PAN-PT</v>
      </c>
      <c r="BD98" s="119" t="str">
        <f t="shared" si="29"/>
        <v>otro</v>
      </c>
      <c r="BE98" s="119">
        <f t="shared" si="30"/>
        <v>7669</v>
      </c>
      <c r="BF98" s="119">
        <f t="shared" si="31"/>
        <v>7669</v>
      </c>
      <c r="BG98" s="467">
        <f t="shared" si="32"/>
        <v>0.25377233620119127</v>
      </c>
      <c r="BH98" s="468">
        <f t="shared" si="33"/>
        <v>1571</v>
      </c>
      <c r="BI98" s="467">
        <f t="shared" si="33"/>
        <v>5.1985440105890124E-2</v>
      </c>
    </row>
    <row r="99" spans="1:61">
      <c r="A99" s="434">
        <v>92</v>
      </c>
      <c r="B99" s="435" t="s">
        <v>608</v>
      </c>
      <c r="C99" s="436">
        <v>57295</v>
      </c>
      <c r="D99" s="434">
        <v>92</v>
      </c>
      <c r="E99" s="434">
        <v>92</v>
      </c>
      <c r="F99" s="437">
        <f t="shared" si="17"/>
        <v>1</v>
      </c>
      <c r="G99" s="455">
        <v>8392</v>
      </c>
      <c r="H99" s="456">
        <v>7751</v>
      </c>
      <c r="I99" s="456">
        <v>2867</v>
      </c>
      <c r="J99" s="456">
        <v>2133</v>
      </c>
      <c r="K99" s="456">
        <v>376</v>
      </c>
      <c r="L99" s="456">
        <v>1922</v>
      </c>
      <c r="M99" s="456">
        <v>577</v>
      </c>
      <c r="N99" s="456">
        <v>2470</v>
      </c>
      <c r="O99" s="456">
        <v>1012</v>
      </c>
      <c r="P99" s="465"/>
      <c r="Q99" s="456">
        <v>381</v>
      </c>
      <c r="R99" s="456">
        <v>31</v>
      </c>
      <c r="S99" s="456">
        <v>88</v>
      </c>
      <c r="T99" s="456">
        <v>14</v>
      </c>
      <c r="U99" s="456">
        <v>1</v>
      </c>
      <c r="V99" s="465"/>
      <c r="W99" s="457"/>
      <c r="X99" s="457"/>
      <c r="Y99" s="456">
        <v>20</v>
      </c>
      <c r="Z99" s="456">
        <v>814</v>
      </c>
      <c r="AA99" s="458">
        <f t="shared" si="18"/>
        <v>28849</v>
      </c>
      <c r="AB99" s="459">
        <f t="shared" si="19"/>
        <v>0.50351688629025215</v>
      </c>
      <c r="AC99" s="455">
        <f t="shared" si="20"/>
        <v>8838</v>
      </c>
      <c r="AD99" s="460"/>
      <c r="AE99" s="461" t="str">
        <f t="shared" si="21"/>
        <v>otro</v>
      </c>
      <c r="AF99" s="462" t="str">
        <f t="shared" si="22"/>
        <v>PRI-PVEM-NA</v>
      </c>
      <c r="AG99" s="124" t="str">
        <f t="shared" si="23"/>
        <v>PRI-PVEM-NA</v>
      </c>
      <c r="AH99" s="119">
        <f t="shared" si="24"/>
        <v>8838</v>
      </c>
      <c r="AI99" s="463">
        <f t="shared" si="25"/>
        <v>0.30635377309438799</v>
      </c>
      <c r="AJ99" s="464">
        <f>RANK(G99,($G99,$I99,$J99,$L99,$N99,$O99,$P99,$Q99,$W99,$X99,$Y99,$Z99,$AC99))</f>
        <v>2</v>
      </c>
      <c r="AK99" s="465"/>
      <c r="AL99" s="466">
        <f>RANK(I99,($G99,$I99,$J99,$L99,$N99,$O99,$P99,$Q99,$W99,$X99,$Y99,$Z99,$AC99))</f>
        <v>3</v>
      </c>
      <c r="AM99" s="466">
        <f>RANK(J99,($G99,$I99,$J99,$L99,$N99,$O99,$P99,$Q99,$W99,$X99,$Y99,$Z99,$AC99))</f>
        <v>5</v>
      </c>
      <c r="AN99" s="457"/>
      <c r="AO99" s="466">
        <f>RANK(L99,($G99,$I99,$J99,$L99,$N99,$O99,$P99,$Q99,$W99,$X99,$Y99,$Z99,$AC99))</f>
        <v>6</v>
      </c>
      <c r="AP99" s="457"/>
      <c r="AQ99" s="466">
        <f>RANK(N99,($G99,$I99,$J99,$L99,$N99,$O99,$P99,$Q99,$W99,$X99,$Y99,$Z99,$AC99))</f>
        <v>4</v>
      </c>
      <c r="AR99" s="466">
        <f>RANK(O99,($G99,$I99,$J99,$L99,$N99,$O99,$P99,$Q99,$W99,$X99,$Y99,$Z99,$AC99))</f>
        <v>7</v>
      </c>
      <c r="AS99" s="457"/>
      <c r="AT99" s="466">
        <f>RANK(Q99,($G99,$I99,$J99,$L99,$N99,$O99,$P99,$Q99,$W99,$X99,$Y99,$Z99,$AC99))</f>
        <v>9</v>
      </c>
      <c r="AU99" s="457"/>
      <c r="AV99" s="457"/>
      <c r="AW99" s="466">
        <f>RANK(Y99,($G99,$I99,$J99,$L99,$N99,$O99,$P99,$Q99,$W99,$X99,$Y99,$Z99,$AC99))</f>
        <v>10</v>
      </c>
      <c r="AX99" s="466">
        <f>RANK(Z99,($G99,$I99,$J99,$L99,$N99,$O99,$P99,$Q99,$W99,$X99,$Y99,$Z99,$AC99))</f>
        <v>8</v>
      </c>
      <c r="AY99" s="466">
        <f>RANK(AC99,($G99,$I99,$J99,$L99,$N99,$O99,$P99,$Q99,$W99,$X99,$Y99,$Z99,$AC99))</f>
        <v>1</v>
      </c>
      <c r="AZ99" s="460"/>
      <c r="BA99" s="461" t="str">
        <f t="shared" si="26"/>
        <v>PAN</v>
      </c>
      <c r="BB99" s="124" t="str">
        <f t="shared" si="27"/>
        <v>ninguno</v>
      </c>
      <c r="BC99" s="124" t="str">
        <f t="shared" si="28"/>
        <v>PAN</v>
      </c>
      <c r="BD99" s="119">
        <f t="shared" si="29"/>
        <v>8392</v>
      </c>
      <c r="BE99" s="119" t="str">
        <f t="shared" si="30"/>
        <v>ninguno</v>
      </c>
      <c r="BF99" s="119">
        <f t="shared" si="31"/>
        <v>8392</v>
      </c>
      <c r="BG99" s="467">
        <f t="shared" si="32"/>
        <v>0.29089396512877397</v>
      </c>
      <c r="BH99" s="468">
        <f t="shared" si="33"/>
        <v>446</v>
      </c>
      <c r="BI99" s="467">
        <f t="shared" si="33"/>
        <v>1.5459807965614025E-2</v>
      </c>
    </row>
    <row r="100" spans="1:61">
      <c r="A100" s="434">
        <v>93</v>
      </c>
      <c r="B100" s="435" t="s">
        <v>665</v>
      </c>
      <c r="C100" s="436">
        <v>40925</v>
      </c>
      <c r="D100" s="434">
        <v>68</v>
      </c>
      <c r="E100" s="434">
        <v>68</v>
      </c>
      <c r="F100" s="437">
        <f t="shared" si="17"/>
        <v>1</v>
      </c>
      <c r="G100" s="455">
        <v>4654</v>
      </c>
      <c r="H100" s="456">
        <v>10329</v>
      </c>
      <c r="I100" s="456">
        <v>3619</v>
      </c>
      <c r="J100" s="456">
        <v>885</v>
      </c>
      <c r="K100" s="456">
        <v>163</v>
      </c>
      <c r="L100" s="456">
        <v>272</v>
      </c>
      <c r="M100" s="456">
        <v>243</v>
      </c>
      <c r="N100" s="456">
        <v>871</v>
      </c>
      <c r="O100" s="465"/>
      <c r="P100" s="456">
        <v>1789</v>
      </c>
      <c r="Q100" s="456">
        <v>96</v>
      </c>
      <c r="R100" s="456">
        <v>33</v>
      </c>
      <c r="S100" s="456">
        <v>103</v>
      </c>
      <c r="T100" s="456">
        <v>9</v>
      </c>
      <c r="U100" s="456">
        <v>1</v>
      </c>
      <c r="V100" s="465"/>
      <c r="W100" s="457"/>
      <c r="X100" s="457"/>
      <c r="Y100" s="456">
        <v>14</v>
      </c>
      <c r="Z100" s="456">
        <v>636</v>
      </c>
      <c r="AA100" s="458">
        <f t="shared" si="18"/>
        <v>23717</v>
      </c>
      <c r="AB100" s="459">
        <f t="shared" si="19"/>
        <v>0.5795235186316432</v>
      </c>
      <c r="AC100" s="455">
        <f t="shared" si="20"/>
        <v>10881</v>
      </c>
      <c r="AD100" s="460"/>
      <c r="AE100" s="461" t="str">
        <f t="shared" si="21"/>
        <v>otro</v>
      </c>
      <c r="AF100" s="462" t="str">
        <f t="shared" si="22"/>
        <v>PRI-PVEM-NA</v>
      </c>
      <c r="AG100" s="124" t="str">
        <f t="shared" si="23"/>
        <v>PRI-PVEM-NA</v>
      </c>
      <c r="AH100" s="119">
        <f t="shared" si="24"/>
        <v>10881</v>
      </c>
      <c r="AI100" s="463">
        <f t="shared" si="25"/>
        <v>0.45878483788000168</v>
      </c>
      <c r="AJ100" s="464">
        <f>RANK(G100,($G100,$I100,$J100,$L100,$N100,$O100,$P100,$Q100,$W100,$X100,$Y100,$Z100,$AC100))</f>
        <v>2</v>
      </c>
      <c r="AK100" s="465"/>
      <c r="AL100" s="466">
        <f>RANK(I100,($G100,$I100,$J100,$L100,$N100,$O100,$P100,$Q100,$W100,$X100,$Y100,$Z100,$AC100))</f>
        <v>3</v>
      </c>
      <c r="AM100" s="466">
        <f>RANK(J100,($G100,$I100,$J100,$L100,$N100,$O100,$P100,$Q100,$W100,$X100,$Y100,$Z100,$AC100))</f>
        <v>5</v>
      </c>
      <c r="AN100" s="457"/>
      <c r="AO100" s="466">
        <f>RANK(L100,($G100,$I100,$J100,$L100,$N100,$O100,$P100,$Q100,$W100,$X100,$Y100,$Z100,$AC100))</f>
        <v>8</v>
      </c>
      <c r="AP100" s="457"/>
      <c r="AQ100" s="466">
        <f>RANK(N100,($G100,$I100,$J100,$L100,$N100,$O100,$P100,$Q100,$W100,$X100,$Y100,$Z100,$AC100))</f>
        <v>6</v>
      </c>
      <c r="AR100" s="457"/>
      <c r="AS100" s="466">
        <f>RANK(P100,($G100,$I100,$J100,$L100,$N100,$O100,$P100,$Q100,$W100,$X100,$Y100,$Z100,$AC100))</f>
        <v>4</v>
      </c>
      <c r="AT100" s="466">
        <f>RANK(Q100,($G100,$I100,$J100,$L100,$N100,$O100,$P100,$Q100,$W100,$X100,$Y100,$Z100,$AC100))</f>
        <v>9</v>
      </c>
      <c r="AU100" s="457"/>
      <c r="AV100" s="457"/>
      <c r="AW100" s="466">
        <f>RANK(Y100,($G100,$I100,$J100,$L100,$N100,$O100,$P100,$Q100,$W100,$X100,$Y100,$Z100,$AC100))</f>
        <v>10</v>
      </c>
      <c r="AX100" s="466">
        <f>RANK(Z100,($G100,$I100,$J100,$L100,$N100,$O100,$P100,$Q100,$W100,$X100,$Y100,$Z100,$AC100))</f>
        <v>7</v>
      </c>
      <c r="AY100" s="466">
        <f>RANK(AC100,($G100,$I100,$J100,$L100,$N100,$O100,$P100,$Q100,$W100,$X100,$Y100,$Z100,$AC100))</f>
        <v>1</v>
      </c>
      <c r="AZ100" s="460"/>
      <c r="BA100" s="461" t="str">
        <f t="shared" si="26"/>
        <v>PAN</v>
      </c>
      <c r="BB100" s="124" t="str">
        <f t="shared" si="27"/>
        <v>ninguno</v>
      </c>
      <c r="BC100" s="124" t="str">
        <f t="shared" si="28"/>
        <v>PAN</v>
      </c>
      <c r="BD100" s="119">
        <f t="shared" si="29"/>
        <v>4654</v>
      </c>
      <c r="BE100" s="119" t="str">
        <f t="shared" si="30"/>
        <v>ninguno</v>
      </c>
      <c r="BF100" s="119">
        <f t="shared" si="31"/>
        <v>4654</v>
      </c>
      <c r="BG100" s="467">
        <f t="shared" si="32"/>
        <v>0.1962305519247797</v>
      </c>
      <c r="BH100" s="468">
        <f t="shared" si="33"/>
        <v>6227</v>
      </c>
      <c r="BI100" s="467">
        <f t="shared" si="33"/>
        <v>0.26255428595522201</v>
      </c>
    </row>
    <row r="101" spans="1:61">
      <c r="A101" s="434">
        <v>94</v>
      </c>
      <c r="B101" s="435" t="s">
        <v>110</v>
      </c>
      <c r="C101" s="436">
        <v>19603</v>
      </c>
      <c r="D101" s="434">
        <v>34</v>
      </c>
      <c r="E101" s="434">
        <v>34</v>
      </c>
      <c r="F101" s="437">
        <f t="shared" si="17"/>
        <v>1</v>
      </c>
      <c r="G101" s="455">
        <v>2872</v>
      </c>
      <c r="H101" s="456">
        <v>3448</v>
      </c>
      <c r="I101" s="456">
        <v>2157</v>
      </c>
      <c r="J101" s="456">
        <v>578</v>
      </c>
      <c r="K101" s="456">
        <v>65</v>
      </c>
      <c r="L101" s="456">
        <v>395</v>
      </c>
      <c r="M101" s="456">
        <v>53</v>
      </c>
      <c r="N101" s="456">
        <v>2721</v>
      </c>
      <c r="O101" s="456">
        <v>98</v>
      </c>
      <c r="P101" s="456">
        <v>232</v>
      </c>
      <c r="Q101" s="456">
        <v>39</v>
      </c>
      <c r="R101" s="456">
        <v>85</v>
      </c>
      <c r="S101" s="456">
        <v>28</v>
      </c>
      <c r="T101" s="456">
        <v>5</v>
      </c>
      <c r="U101" s="456">
        <v>1</v>
      </c>
      <c r="V101" s="465"/>
      <c r="W101" s="457"/>
      <c r="X101" s="457"/>
      <c r="Y101" s="456">
        <v>4</v>
      </c>
      <c r="Z101" s="456">
        <v>258</v>
      </c>
      <c r="AA101" s="458">
        <f t="shared" si="18"/>
        <v>13039</v>
      </c>
      <c r="AB101" s="459">
        <f t="shared" si="19"/>
        <v>0.66515329286333724</v>
      </c>
      <c r="AC101" s="455">
        <f t="shared" si="20"/>
        <v>3685</v>
      </c>
      <c r="AD101" s="460"/>
      <c r="AE101" s="461" t="str">
        <f t="shared" si="21"/>
        <v>otro</v>
      </c>
      <c r="AF101" s="462" t="str">
        <f t="shared" si="22"/>
        <v>PRI-PVEM-NA</v>
      </c>
      <c r="AG101" s="124" t="str">
        <f t="shared" si="23"/>
        <v>PRI-PVEM-NA</v>
      </c>
      <c r="AH101" s="119">
        <f t="shared" si="24"/>
        <v>3685</v>
      </c>
      <c r="AI101" s="463">
        <f t="shared" si="25"/>
        <v>0.28261369736943015</v>
      </c>
      <c r="AJ101" s="464">
        <f>RANK(G101,($G101,$I101,$J101,$L101,$N101,$O101,$P101,$Q101,$W101,$X101,$Y101,$Z101,$AC101))</f>
        <v>2</v>
      </c>
      <c r="AK101" s="465"/>
      <c r="AL101" s="466">
        <f>RANK(I101,($G101,$I101,$J101,$L101,$N101,$O101,$P101,$Q101,$W101,$X101,$Y101,$Z101,$AC101))</f>
        <v>4</v>
      </c>
      <c r="AM101" s="466">
        <f>RANK(J101,($G101,$I101,$J101,$L101,$N101,$O101,$P101,$Q101,$W101,$X101,$Y101,$Z101,$AC101))</f>
        <v>5</v>
      </c>
      <c r="AN101" s="457"/>
      <c r="AO101" s="466">
        <f>RANK(L101,($G101,$I101,$J101,$L101,$N101,$O101,$P101,$Q101,$W101,$X101,$Y101,$Z101,$AC101))</f>
        <v>6</v>
      </c>
      <c r="AP101" s="457"/>
      <c r="AQ101" s="466">
        <f>RANK(N101,($G101,$I101,$J101,$L101,$N101,$O101,$P101,$Q101,$W101,$X101,$Y101,$Z101,$AC101))</f>
        <v>3</v>
      </c>
      <c r="AR101" s="466">
        <f>RANK(O101,($G101,$I101,$J101,$L101,$N101,$O101,$P101,$Q101,$W101,$X101,$Y101,$Z101,$AC101))</f>
        <v>9</v>
      </c>
      <c r="AS101" s="466">
        <f>RANK(P101,($G101,$I101,$J101,$L101,$N101,$O101,$P101,$Q101,$W101,$X101,$Y101,$Z101,$AC101))</f>
        <v>8</v>
      </c>
      <c r="AT101" s="466">
        <f>RANK(Q101,($G101,$I101,$J101,$L101,$N101,$O101,$P101,$Q101,$W101,$X101,$Y101,$Z101,$AC101))</f>
        <v>10</v>
      </c>
      <c r="AU101" s="457"/>
      <c r="AV101" s="457"/>
      <c r="AW101" s="466">
        <f>RANK(Y101,($G101,$I101,$J101,$L101,$N101,$O101,$P101,$Q101,$W101,$X101,$Y101,$Z101,$AC101))</f>
        <v>11</v>
      </c>
      <c r="AX101" s="466">
        <f>RANK(Z101,($G101,$I101,$J101,$L101,$N101,$O101,$P101,$Q101,$W101,$X101,$Y101,$Z101,$AC101))</f>
        <v>7</v>
      </c>
      <c r="AY101" s="466">
        <f>RANK(AC101,($G101,$I101,$J101,$L101,$N101,$O101,$P101,$Q101,$W101,$X101,$Y101,$Z101,$AC101))</f>
        <v>1</v>
      </c>
      <c r="AZ101" s="460"/>
      <c r="BA101" s="461" t="str">
        <f t="shared" si="26"/>
        <v>PAN</v>
      </c>
      <c r="BB101" s="124" t="str">
        <f t="shared" si="27"/>
        <v>ninguno</v>
      </c>
      <c r="BC101" s="124" t="str">
        <f t="shared" si="28"/>
        <v>PAN</v>
      </c>
      <c r="BD101" s="119">
        <f t="shared" si="29"/>
        <v>2872</v>
      </c>
      <c r="BE101" s="119" t="str">
        <f t="shared" si="30"/>
        <v>ninguno</v>
      </c>
      <c r="BF101" s="119">
        <f t="shared" si="31"/>
        <v>2872</v>
      </c>
      <c r="BG101" s="467">
        <f t="shared" si="32"/>
        <v>0.22026229005291817</v>
      </c>
      <c r="BH101" s="468">
        <f t="shared" si="33"/>
        <v>813</v>
      </c>
      <c r="BI101" s="467">
        <f t="shared" si="33"/>
        <v>6.2351407316511981E-2</v>
      </c>
    </row>
    <row r="102" spans="1:61">
      <c r="A102" s="434">
        <v>95</v>
      </c>
      <c r="B102" s="435" t="s">
        <v>610</v>
      </c>
      <c r="C102" s="436">
        <v>12897</v>
      </c>
      <c r="D102" s="434">
        <v>21</v>
      </c>
      <c r="E102" s="434">
        <v>21</v>
      </c>
      <c r="F102" s="437">
        <f t="shared" si="17"/>
        <v>1</v>
      </c>
      <c r="G102" s="455">
        <v>1034</v>
      </c>
      <c r="H102" s="456">
        <v>2618</v>
      </c>
      <c r="I102" s="456">
        <v>1433</v>
      </c>
      <c r="J102" s="456">
        <v>29</v>
      </c>
      <c r="K102" s="456">
        <v>32</v>
      </c>
      <c r="L102" s="456">
        <v>1573</v>
      </c>
      <c r="M102" s="456">
        <v>77</v>
      </c>
      <c r="N102" s="456">
        <v>967</v>
      </c>
      <c r="O102" s="456">
        <v>319</v>
      </c>
      <c r="P102" s="465"/>
      <c r="Q102" s="465"/>
      <c r="R102" s="456">
        <v>13</v>
      </c>
      <c r="S102" s="456">
        <v>17</v>
      </c>
      <c r="T102" s="456">
        <v>2</v>
      </c>
      <c r="U102" s="456">
        <v>1</v>
      </c>
      <c r="V102" s="465"/>
      <c r="W102" s="457"/>
      <c r="X102" s="457"/>
      <c r="Y102" s="456">
        <v>1</v>
      </c>
      <c r="Z102" s="456">
        <v>173</v>
      </c>
      <c r="AA102" s="458">
        <f t="shared" si="18"/>
        <v>8289</v>
      </c>
      <c r="AB102" s="459">
        <f t="shared" si="19"/>
        <v>0.64270760642009772</v>
      </c>
      <c r="AC102" s="455">
        <f t="shared" si="20"/>
        <v>2760</v>
      </c>
      <c r="AD102" s="460"/>
      <c r="AE102" s="461" t="str">
        <f t="shared" si="21"/>
        <v>otro</v>
      </c>
      <c r="AF102" s="462" t="str">
        <f t="shared" si="22"/>
        <v>PRI-PVEM-NA</v>
      </c>
      <c r="AG102" s="124" t="str">
        <f t="shared" si="23"/>
        <v>PRI-PVEM-NA</v>
      </c>
      <c r="AH102" s="119">
        <f t="shared" si="24"/>
        <v>2760</v>
      </c>
      <c r="AI102" s="463">
        <f t="shared" si="25"/>
        <v>0.33297140788997465</v>
      </c>
      <c r="AJ102" s="464">
        <f>RANK(G102,($G102,$I102,$J102,$L102,$N102,$O102,$P102,$Q102,$W102,$X102,$Y102,$Z102,$AC102))</f>
        <v>4</v>
      </c>
      <c r="AK102" s="465"/>
      <c r="AL102" s="466">
        <f>RANK(I102,($G102,$I102,$J102,$L102,$N102,$O102,$P102,$Q102,$W102,$X102,$Y102,$Z102,$AC102))</f>
        <v>3</v>
      </c>
      <c r="AM102" s="466">
        <f>RANK(J102,($G102,$I102,$J102,$L102,$N102,$O102,$P102,$Q102,$W102,$X102,$Y102,$Z102,$AC102))</f>
        <v>8</v>
      </c>
      <c r="AN102" s="457"/>
      <c r="AO102" s="466">
        <f>RANK(L102,($G102,$I102,$J102,$L102,$N102,$O102,$P102,$Q102,$W102,$X102,$Y102,$Z102,$AC102))</f>
        <v>2</v>
      </c>
      <c r="AP102" s="457"/>
      <c r="AQ102" s="466">
        <f>RANK(N102,($G102,$I102,$J102,$L102,$N102,$O102,$P102,$Q102,$W102,$X102,$Y102,$Z102,$AC102))</f>
        <v>5</v>
      </c>
      <c r="AR102" s="466">
        <f>RANK(O102,($G102,$I102,$J102,$L102,$N102,$O102,$P102,$Q102,$W102,$X102,$Y102,$Z102,$AC102))</f>
        <v>6</v>
      </c>
      <c r="AS102" s="457"/>
      <c r="AT102" s="457"/>
      <c r="AU102" s="457"/>
      <c r="AV102" s="457"/>
      <c r="AW102" s="466">
        <f>RANK(Y102,($G102,$I102,$J102,$L102,$N102,$O102,$P102,$Q102,$W102,$X102,$Y102,$Z102,$AC102))</f>
        <v>9</v>
      </c>
      <c r="AX102" s="466">
        <f>RANK(Z102,($G102,$I102,$J102,$L102,$N102,$O102,$P102,$Q102,$W102,$X102,$Y102,$Z102,$AC102))</f>
        <v>7</v>
      </c>
      <c r="AY102" s="466">
        <f>RANK(AC102,($G102,$I102,$J102,$L102,$N102,$O102,$P102,$Q102,$W102,$X102,$Y102,$Z102,$AC102))</f>
        <v>1</v>
      </c>
      <c r="AZ102" s="460"/>
      <c r="BA102" s="461" t="str">
        <f t="shared" si="26"/>
        <v>MC</v>
      </c>
      <c r="BB102" s="124" t="str">
        <f t="shared" si="27"/>
        <v>ninguno</v>
      </c>
      <c r="BC102" s="124" t="str">
        <f t="shared" si="28"/>
        <v>MC</v>
      </c>
      <c r="BD102" s="119">
        <f t="shared" si="29"/>
        <v>1573</v>
      </c>
      <c r="BE102" s="119" t="str">
        <f t="shared" si="30"/>
        <v>ninguno</v>
      </c>
      <c r="BF102" s="119">
        <f t="shared" si="31"/>
        <v>1573</v>
      </c>
      <c r="BG102" s="467">
        <f t="shared" si="32"/>
        <v>0.18976957413439499</v>
      </c>
      <c r="BH102" s="468">
        <f t="shared" si="33"/>
        <v>1187</v>
      </c>
      <c r="BI102" s="467">
        <f t="shared" si="33"/>
        <v>0.14320183375557965</v>
      </c>
    </row>
    <row r="103" spans="1:61">
      <c r="A103" s="434">
        <v>96</v>
      </c>
      <c r="B103" s="435" t="s">
        <v>112</v>
      </c>
      <c r="C103" s="436">
        <v>52863</v>
      </c>
      <c r="D103" s="434">
        <v>85</v>
      </c>
      <c r="E103" s="434">
        <v>85</v>
      </c>
      <c r="F103" s="437">
        <f t="shared" si="17"/>
        <v>1</v>
      </c>
      <c r="G103" s="455">
        <v>4549</v>
      </c>
      <c r="H103" s="456">
        <v>6815</v>
      </c>
      <c r="I103" s="456">
        <v>2255</v>
      </c>
      <c r="J103" s="456">
        <v>224</v>
      </c>
      <c r="K103" s="456">
        <v>234</v>
      </c>
      <c r="L103" s="456">
        <v>13048</v>
      </c>
      <c r="M103" s="456">
        <v>513</v>
      </c>
      <c r="N103" s="456">
        <v>1407</v>
      </c>
      <c r="O103" s="456">
        <v>577</v>
      </c>
      <c r="P103" s="456">
        <v>569</v>
      </c>
      <c r="Q103" s="456">
        <v>77</v>
      </c>
      <c r="R103" s="465"/>
      <c r="S103" s="465"/>
      <c r="T103" s="465"/>
      <c r="U103" s="465"/>
      <c r="V103" s="456">
        <v>30</v>
      </c>
      <c r="W103" s="457"/>
      <c r="X103" s="457"/>
      <c r="Y103" s="456">
        <v>9</v>
      </c>
      <c r="Z103" s="456">
        <v>699</v>
      </c>
      <c r="AA103" s="458">
        <f t="shared" si="18"/>
        <v>31006</v>
      </c>
      <c r="AB103" s="459">
        <f t="shared" si="19"/>
        <v>0.58653500558046268</v>
      </c>
      <c r="AC103" s="470"/>
      <c r="AD103" s="458">
        <f>G103+J103+V103</f>
        <v>4803</v>
      </c>
      <c r="AE103" s="461" t="str">
        <f t="shared" si="21"/>
        <v>MC</v>
      </c>
      <c r="AF103" s="462" t="str">
        <f t="shared" si="22"/>
        <v>ninguno</v>
      </c>
      <c r="AG103" s="124" t="str">
        <f t="shared" si="23"/>
        <v>MC</v>
      </c>
      <c r="AH103" s="119">
        <f t="shared" si="24"/>
        <v>13048</v>
      </c>
      <c r="AI103" s="463">
        <f t="shared" si="25"/>
        <v>0.42082177643036833</v>
      </c>
      <c r="AJ103" s="470"/>
      <c r="AK103" s="466">
        <f>RANK(H103,($H103,$I103,$K103,$L103,$M103,$N103,$O103,$P103,$Q103,$W103,$X103,$Y103,$Z103,$AC103,$AD103))</f>
        <v>2</v>
      </c>
      <c r="AL103" s="466">
        <f>RANK(I103,($H103,$I103,$K103,$L103,$M103,$N103,$O103,$P103,$Q103,$W103,$X103,$Y103,$Z103,$AC103,$AD103))</f>
        <v>4</v>
      </c>
      <c r="AM103" s="465"/>
      <c r="AN103" s="466">
        <f>RANK(K103,($H103,$I103,$K103,$L103,$M103,$N103,$O103,$P103,$Q103,$W103,$X103,$Y103,$Z103,$AC103,$AD103))</f>
        <v>10</v>
      </c>
      <c r="AO103" s="466">
        <f>RANK(L103,($H103,$I103,$K103,$L103,$M103,$N103,$O103,$P103,$Q103,$W103,$X103,$Y103,$Z103,$AC103,$AD103))</f>
        <v>1</v>
      </c>
      <c r="AP103" s="466">
        <f>RANK(M103,($H103,$I103,$K103,$L103,$M103,$N103,$O103,$P103,$Q103,$W103,$X103,$Y103,$Z103,$AC103,$AD103))</f>
        <v>9</v>
      </c>
      <c r="AQ103" s="466">
        <f>RANK(N103,($H103,$I103,$K103,$L103,$M103,$N103,$O103,$P103,$Q103,$W103,$X103,$Y103,$Z103,$AC103,$AD103))</f>
        <v>5</v>
      </c>
      <c r="AR103" s="466">
        <f>RANK(O103,($H103,$I103,$K103,$L103,$M103,$N103,$O103,$P103,$Q103,$W103,$X103,$Y103,$Z103,$AC103,$AD103))</f>
        <v>7</v>
      </c>
      <c r="AS103" s="466">
        <f>RANK(P103,($H103,$I103,$K103,$L103,$M103,$N103,$O103,$P103,$Q103,$W103,$X103,$Y103,$Z103,$AC103,$AD103))</f>
        <v>8</v>
      </c>
      <c r="AT103" s="466">
        <f>RANK(Q103,($H103,$I103,$K103,$L103,$M103,$N103,$O103,$P103,$Q103,$W103,$X103,$Y103,$Z103,$AC103,$AD103))</f>
        <v>11</v>
      </c>
      <c r="AU103" s="457"/>
      <c r="AV103" s="457"/>
      <c r="AW103" s="466">
        <f>RANK(Y103,($H103,$I103,$K103,$L103,$M103,$N103,$O103,$P103,$Q103,$W103,$X103,$Y103,$Z103,$AC103,$AD103))</f>
        <v>12</v>
      </c>
      <c r="AX103" s="466">
        <f>RANK(Z103,($H103,$I103,$K103,$L103,$M103,$N103,$O103,$P103,$Q103,$W103,$X103,$Y103,$Z103,$AC103,$AD103))</f>
        <v>6</v>
      </c>
      <c r="AY103" s="465"/>
      <c r="AZ103" s="471">
        <f>RANK(AD103,($H103,$I103,$K103,$L103,$M103,$N103,$O103,$P103,$Q103,$W103,$X103,$Y103,$Z103,$AC103,$AD103))</f>
        <v>3</v>
      </c>
      <c r="BA103" s="461" t="str">
        <f t="shared" si="26"/>
        <v>PRI</v>
      </c>
      <c r="BB103" s="124" t="str">
        <f t="shared" si="27"/>
        <v>ninguno</v>
      </c>
      <c r="BC103" s="124" t="str">
        <f t="shared" si="28"/>
        <v>PRI</v>
      </c>
      <c r="BD103" s="119">
        <f t="shared" si="29"/>
        <v>6815</v>
      </c>
      <c r="BE103" s="119" t="str">
        <f t="shared" si="30"/>
        <v>ninguno</v>
      </c>
      <c r="BF103" s="119">
        <f t="shared" si="31"/>
        <v>6815</v>
      </c>
      <c r="BG103" s="467">
        <f t="shared" si="32"/>
        <v>0.21979616848351932</v>
      </c>
      <c r="BH103" s="468">
        <f t="shared" si="33"/>
        <v>6233</v>
      </c>
      <c r="BI103" s="467">
        <f t="shared" si="33"/>
        <v>0.20102560794684901</v>
      </c>
    </row>
    <row r="104" spans="1:61">
      <c r="A104" s="434">
        <v>97</v>
      </c>
      <c r="B104" s="435" t="s">
        <v>113</v>
      </c>
      <c r="C104" s="436">
        <v>24244</v>
      </c>
      <c r="D104" s="434">
        <v>40</v>
      </c>
      <c r="E104" s="434">
        <v>40</v>
      </c>
      <c r="F104" s="437">
        <f t="shared" si="17"/>
        <v>1</v>
      </c>
      <c r="G104" s="455">
        <v>2727</v>
      </c>
      <c r="H104" s="456">
        <v>5309</v>
      </c>
      <c r="I104" s="456">
        <v>1183</v>
      </c>
      <c r="J104" s="456">
        <v>147</v>
      </c>
      <c r="K104" s="456">
        <v>244</v>
      </c>
      <c r="L104" s="456">
        <v>5061</v>
      </c>
      <c r="M104" s="456">
        <v>90</v>
      </c>
      <c r="N104" s="456">
        <v>1128</v>
      </c>
      <c r="O104" s="456">
        <v>181</v>
      </c>
      <c r="P104" s="465"/>
      <c r="Q104" s="465"/>
      <c r="R104" s="456">
        <v>19</v>
      </c>
      <c r="S104" s="456">
        <v>58</v>
      </c>
      <c r="T104" s="456">
        <v>5</v>
      </c>
      <c r="U104" s="456">
        <v>11</v>
      </c>
      <c r="V104" s="465"/>
      <c r="W104" s="457"/>
      <c r="X104" s="457"/>
      <c r="Y104" s="456">
        <v>8</v>
      </c>
      <c r="Z104" s="456">
        <v>371</v>
      </c>
      <c r="AA104" s="458">
        <f t="shared" si="18"/>
        <v>16542</v>
      </c>
      <c r="AB104" s="459">
        <f t="shared" si="19"/>
        <v>0.68231314964527301</v>
      </c>
      <c r="AC104" s="455">
        <f t="shared" si="20"/>
        <v>5736</v>
      </c>
      <c r="AD104" s="460"/>
      <c r="AE104" s="461" t="str">
        <f t="shared" si="21"/>
        <v>otro</v>
      </c>
      <c r="AF104" s="462" t="str">
        <f t="shared" si="22"/>
        <v>PRI-PVEM-NA</v>
      </c>
      <c r="AG104" s="124" t="str">
        <f t="shared" si="23"/>
        <v>PRI-PVEM-NA</v>
      </c>
      <c r="AH104" s="119">
        <f t="shared" si="24"/>
        <v>5736</v>
      </c>
      <c r="AI104" s="463">
        <f t="shared" si="25"/>
        <v>0.34675371780921294</v>
      </c>
      <c r="AJ104" s="464">
        <f>RANK(G104,($G104,$I104,$J104,$L104,$N104,$O104,$P104,$Q104,$W104,$X104,$Y104,$Z104,$AC104))</f>
        <v>3</v>
      </c>
      <c r="AK104" s="465"/>
      <c r="AL104" s="466">
        <f>RANK(I104,($G104,$I104,$J104,$L104,$N104,$O104,$P104,$Q104,$W104,$X104,$Y104,$Z104,$AC104))</f>
        <v>4</v>
      </c>
      <c r="AM104" s="466">
        <f>RANK(J104,($G104,$I104,$J104,$L104,$N104,$O104,$P104,$Q104,$W104,$X104,$Y104,$Z104,$AC104))</f>
        <v>8</v>
      </c>
      <c r="AN104" s="457"/>
      <c r="AO104" s="466">
        <f>RANK(L104,($G104,$I104,$J104,$L104,$N104,$O104,$P104,$Q104,$W104,$X104,$Y104,$Z104,$AC104))</f>
        <v>2</v>
      </c>
      <c r="AP104" s="457"/>
      <c r="AQ104" s="466">
        <f>RANK(N104,($G104,$I104,$J104,$L104,$N104,$O104,$P104,$Q104,$W104,$X104,$Y104,$Z104,$AC104))</f>
        <v>5</v>
      </c>
      <c r="AR104" s="466">
        <f>RANK(O104,($G104,$I104,$J104,$L104,$N104,$O104,$P104,$Q104,$W104,$X104,$Y104,$Z104,$AC104))</f>
        <v>7</v>
      </c>
      <c r="AS104" s="457"/>
      <c r="AT104" s="457"/>
      <c r="AU104" s="457"/>
      <c r="AV104" s="457"/>
      <c r="AW104" s="466">
        <f>RANK(Y104,($G104,$I104,$J104,$L104,$N104,$O104,$P104,$Q104,$W104,$X104,$Y104,$Z104,$AC104))</f>
        <v>9</v>
      </c>
      <c r="AX104" s="466">
        <f>RANK(Z104,($G104,$I104,$J104,$L104,$N104,$O104,$P104,$Q104,$W104,$X104,$Y104,$Z104,$AC104))</f>
        <v>6</v>
      </c>
      <c r="AY104" s="466">
        <f>RANK(AC104,($G104,$I104,$J104,$L104,$N104,$O104,$P104,$Q104,$W104,$X104,$Y104,$Z104,$AC104))</f>
        <v>1</v>
      </c>
      <c r="AZ104" s="460"/>
      <c r="BA104" s="461" t="str">
        <f t="shared" si="26"/>
        <v>MC</v>
      </c>
      <c r="BB104" s="124" t="str">
        <f t="shared" si="27"/>
        <v>ninguno</v>
      </c>
      <c r="BC104" s="124" t="str">
        <f t="shared" si="28"/>
        <v>MC</v>
      </c>
      <c r="BD104" s="119">
        <f t="shared" si="29"/>
        <v>5061</v>
      </c>
      <c r="BE104" s="119" t="str">
        <f t="shared" si="30"/>
        <v>ninguno</v>
      </c>
      <c r="BF104" s="119">
        <f t="shared" si="31"/>
        <v>5061</v>
      </c>
      <c r="BG104" s="467">
        <f t="shared" si="32"/>
        <v>0.30594849474066016</v>
      </c>
      <c r="BH104" s="468">
        <f t="shared" si="33"/>
        <v>675</v>
      </c>
      <c r="BI104" s="467">
        <f t="shared" si="33"/>
        <v>4.0805223068552776E-2</v>
      </c>
    </row>
    <row r="105" spans="1:61">
      <c r="A105" s="434">
        <v>98</v>
      </c>
      <c r="B105" s="435" t="s">
        <v>114</v>
      </c>
      <c r="C105" s="436">
        <v>12503</v>
      </c>
      <c r="D105" s="434">
        <v>24</v>
      </c>
      <c r="E105" s="434">
        <v>24</v>
      </c>
      <c r="F105" s="437">
        <f t="shared" si="17"/>
        <v>1</v>
      </c>
      <c r="G105" s="455">
        <v>4088</v>
      </c>
      <c r="H105" s="456">
        <v>4943</v>
      </c>
      <c r="I105" s="456">
        <v>68</v>
      </c>
      <c r="J105" s="457"/>
      <c r="K105" s="456">
        <v>27</v>
      </c>
      <c r="L105" s="456">
        <v>30</v>
      </c>
      <c r="M105" s="456">
        <v>218</v>
      </c>
      <c r="N105" s="456">
        <v>209</v>
      </c>
      <c r="O105" s="456">
        <v>63</v>
      </c>
      <c r="P105" s="465"/>
      <c r="Q105" s="465"/>
      <c r="R105" s="465"/>
      <c r="S105" s="465"/>
      <c r="T105" s="465"/>
      <c r="U105" s="465"/>
      <c r="V105" s="465"/>
      <c r="W105" s="457"/>
      <c r="X105" s="457"/>
      <c r="Y105" s="456">
        <v>1</v>
      </c>
      <c r="Z105" s="456">
        <v>188</v>
      </c>
      <c r="AA105" s="458">
        <f t="shared" si="18"/>
        <v>9835</v>
      </c>
      <c r="AB105" s="459">
        <f t="shared" si="19"/>
        <v>0.7866112133088059</v>
      </c>
      <c r="AC105" s="470"/>
      <c r="AD105" s="460"/>
      <c r="AE105" s="461" t="str">
        <f t="shared" si="21"/>
        <v>PRI</v>
      </c>
      <c r="AF105" s="462" t="str">
        <f t="shared" si="22"/>
        <v>ninguno</v>
      </c>
      <c r="AG105" s="124" t="str">
        <f t="shared" si="23"/>
        <v>PRI</v>
      </c>
      <c r="AH105" s="119">
        <f t="shared" si="24"/>
        <v>4943</v>
      </c>
      <c r="AI105" s="463">
        <f t="shared" si="25"/>
        <v>0.5025927808845958</v>
      </c>
      <c r="AJ105" s="464">
        <f>RANK(G105,($G105,$H105,$I105,$J105,$K105,$L105,$M105,$N105,$O105,$P105,$Q105,$W105,$X105,$Y105,$Z105))</f>
        <v>2</v>
      </c>
      <c r="AK105" s="466">
        <f>RANK(H105,($G105,$H105,$I105,$J105,$K105,$L105,$M105,$N105,$O105,$P105,$Q105,$W105,$X105,$Y105,$Z105))</f>
        <v>1</v>
      </c>
      <c r="AL105" s="466">
        <f>RANK(I105,($G105,$H105,$I105,$J105,$K105,$L105,$M105,$N105,$O105,$P105,$Q105,$W105,$X105,$Y105,$Z105))</f>
        <v>6</v>
      </c>
      <c r="AM105" s="465"/>
      <c r="AN105" s="466">
        <f>RANK(K105,($G105,$H105,$I105,$J105,$K105,$L105,$M105,$N105,$O105,$P105,$Q105,$W105,$X105,$Y105,$Z105))</f>
        <v>9</v>
      </c>
      <c r="AO105" s="466">
        <f>RANK(L105,($G105,$H105,$I105,$J105,$K105,$L105,$M105,$N105,$O105,$P105,$Q105,$W105,$X105,$Y105,$Z105))</f>
        <v>8</v>
      </c>
      <c r="AP105" s="466">
        <f>RANK(M105,($G105,$H105,$I105,$J105,$K105,$L105,$M105,$N105,$O105,$P105,$Q105,$W105,$X105,$Y105,$Z105))</f>
        <v>3</v>
      </c>
      <c r="AQ105" s="466">
        <f>RANK(N105,($G105,$H105,$I105,$J105,$K105,$L105,$M105,$N105,$O105,$P105,$Q105,$W105,$X105,$Y105,$Z105))</f>
        <v>4</v>
      </c>
      <c r="AR105" s="466">
        <f>RANK(O105,($G105,$H105,$I105,$J105,$K105,$L105,$M105,$N105,$O105,$P105,$Q105,$W105,$X105,$Y105,$Z105))</f>
        <v>7</v>
      </c>
      <c r="AS105" s="457"/>
      <c r="AT105" s="457"/>
      <c r="AU105" s="457"/>
      <c r="AV105" s="457"/>
      <c r="AW105" s="466">
        <f>RANK(Y105,($G105,$H105,$I105,$J105,$K105,$L105,$M105,$N105,$O105,$P105,$Q105,$W105,$X105,$Y105,$Z105))</f>
        <v>10</v>
      </c>
      <c r="AX105" s="466">
        <f>RANK(Z105,($G105,$H105,$I105,$J105,$K105,$L105,$M105,$N105,$O105,$P105,$Q105,$W105,$X105,$Y105,$Z105))</f>
        <v>5</v>
      </c>
      <c r="AY105" s="465"/>
      <c r="AZ105" s="460"/>
      <c r="BA105" s="461" t="str">
        <f t="shared" si="26"/>
        <v>PAN</v>
      </c>
      <c r="BB105" s="124" t="str">
        <f t="shared" si="27"/>
        <v>ninguno</v>
      </c>
      <c r="BC105" s="124" t="str">
        <f t="shared" si="28"/>
        <v>PAN</v>
      </c>
      <c r="BD105" s="119">
        <f t="shared" si="29"/>
        <v>4088</v>
      </c>
      <c r="BE105" s="119" t="str">
        <f t="shared" si="30"/>
        <v>ninguno</v>
      </c>
      <c r="BF105" s="119">
        <f t="shared" si="31"/>
        <v>4088</v>
      </c>
      <c r="BG105" s="467">
        <f t="shared" si="32"/>
        <v>0.41565836298932385</v>
      </c>
      <c r="BH105" s="468">
        <f t="shared" si="33"/>
        <v>855</v>
      </c>
      <c r="BI105" s="467">
        <f t="shared" si="33"/>
        <v>8.6934417895271954E-2</v>
      </c>
    </row>
    <row r="106" spans="1:61">
      <c r="A106" s="434">
        <v>99</v>
      </c>
      <c r="B106" s="435" t="s">
        <v>115</v>
      </c>
      <c r="C106" s="436">
        <v>3742</v>
      </c>
      <c r="D106" s="434">
        <v>6</v>
      </c>
      <c r="E106" s="434">
        <v>6</v>
      </c>
      <c r="F106" s="437">
        <f t="shared" si="17"/>
        <v>1</v>
      </c>
      <c r="G106" s="475"/>
      <c r="H106" s="456">
        <v>696</v>
      </c>
      <c r="I106" s="456">
        <v>579</v>
      </c>
      <c r="J106" s="456">
        <v>110</v>
      </c>
      <c r="K106" s="456">
        <v>9</v>
      </c>
      <c r="L106" s="456">
        <v>159</v>
      </c>
      <c r="M106" s="456">
        <v>473</v>
      </c>
      <c r="N106" s="456">
        <v>66</v>
      </c>
      <c r="O106" s="465"/>
      <c r="P106" s="456">
        <v>686</v>
      </c>
      <c r="Q106" s="465"/>
      <c r="R106" s="465"/>
      <c r="S106" s="465"/>
      <c r="T106" s="465"/>
      <c r="U106" s="465"/>
      <c r="V106" s="465"/>
      <c r="W106" s="457"/>
      <c r="X106" s="457"/>
      <c r="Y106" s="456">
        <v>0</v>
      </c>
      <c r="Z106" s="456">
        <v>49</v>
      </c>
      <c r="AA106" s="458">
        <f t="shared" si="18"/>
        <v>2827</v>
      </c>
      <c r="AB106" s="459">
        <f t="shared" si="19"/>
        <v>0.75547835382148587</v>
      </c>
      <c r="AC106" s="470"/>
      <c r="AD106" s="460"/>
      <c r="AE106" s="461" t="str">
        <f t="shared" si="21"/>
        <v>PRI</v>
      </c>
      <c r="AF106" s="462" t="str">
        <f t="shared" si="22"/>
        <v>ninguno</v>
      </c>
      <c r="AG106" s="124" t="str">
        <f t="shared" si="23"/>
        <v>PRI</v>
      </c>
      <c r="AH106" s="119">
        <f t="shared" si="24"/>
        <v>696</v>
      </c>
      <c r="AI106" s="463">
        <f t="shared" si="25"/>
        <v>0.24619738238415281</v>
      </c>
      <c r="AJ106" s="464">
        <f>RANK(G106,($G106,$H106,$I106,$J106,$K106,$L106,$M106,$N106,$O106,$P106,$Q106,$W106,$X106,$Y106,$Z106))</f>
        <v>10</v>
      </c>
      <c r="AK106" s="466">
        <f>RANK(H106,($G106,$H106,$I106,$J106,$K106,$L106,$M106,$N106,$O106,$P106,$Q106,$W106,$X106,$Y106,$Z106))</f>
        <v>1</v>
      </c>
      <c r="AL106" s="466">
        <f>RANK(I106,($G106,$H106,$I106,$J106,$K106,$L106,$M106,$N106,$O106,$P106,$Q106,$W106,$X106,$Y106,$Z106))</f>
        <v>3</v>
      </c>
      <c r="AM106" s="466">
        <f>RANK(J106,($G106,$H106,$I106,$J106,$K106,$L106,$M106,$N106,$O106,$P106,$Q106,$W106,$X106,$Y106,$Z106))</f>
        <v>6</v>
      </c>
      <c r="AN106" s="466">
        <f>RANK(K106,($G106,$H106,$I106,$J106,$K106,$L106,$M106,$N106,$O106,$P106,$Q106,$W106,$X106,$Y106,$Z106))</f>
        <v>9</v>
      </c>
      <c r="AO106" s="466">
        <f>RANK(L106,($G106,$H106,$I106,$J106,$K106,$L106,$M106,$N106,$O106,$P106,$Q106,$W106,$X106,$Y106,$Z106))</f>
        <v>5</v>
      </c>
      <c r="AP106" s="466">
        <f>RANK(M106,($G106,$H106,$I106,$J106,$K106,$L106,$M106,$N106,$O106,$P106,$Q106,$W106,$X106,$Y106,$Z106))</f>
        <v>4</v>
      </c>
      <c r="AQ106" s="466">
        <f>RANK(N106,($G106,$H106,$I106,$J106,$K106,$L106,$M106,$N106,$O106,$P106,$Q106,$W106,$X106,$Y106,$Z106))</f>
        <v>7</v>
      </c>
      <c r="AR106" s="457"/>
      <c r="AS106" s="466">
        <f>RANK(P106,($G106,$H106,$I106,$J106,$K106,$L106,$M106,$N106,$O106,$P106,$Q106,$W106,$X106,$Y106,$Z106))</f>
        <v>2</v>
      </c>
      <c r="AT106" s="457"/>
      <c r="AU106" s="457"/>
      <c r="AV106" s="457"/>
      <c r="AW106" s="466">
        <f>RANK(Y106,($G106,$H106,$I106,$J106,$K106,$L106,$M106,$N106,$O106,$P106,$Q106,$W106,$X106,$Y106,$Z106))</f>
        <v>10</v>
      </c>
      <c r="AX106" s="466">
        <f>RANK(Z106,($G106,$H106,$I106,$J106,$K106,$L106,$M106,$N106,$O106,$P106,$Q106,$W106,$X106,$Y106,$Z106))</f>
        <v>8</v>
      </c>
      <c r="AY106" s="465"/>
      <c r="AZ106" s="460"/>
      <c r="BA106" s="461" t="str">
        <f t="shared" si="26"/>
        <v>otro</v>
      </c>
      <c r="BB106" s="124" t="str">
        <f t="shared" si="27"/>
        <v>ES</v>
      </c>
      <c r="BC106" s="124" t="str">
        <f t="shared" si="28"/>
        <v>ES</v>
      </c>
      <c r="BD106" s="119" t="str">
        <f t="shared" si="29"/>
        <v>otro</v>
      </c>
      <c r="BE106" s="119">
        <f t="shared" si="30"/>
        <v>686</v>
      </c>
      <c r="BF106" s="119">
        <f t="shared" si="31"/>
        <v>686</v>
      </c>
      <c r="BG106" s="467">
        <f t="shared" si="32"/>
        <v>0.24266006367173681</v>
      </c>
      <c r="BH106" s="468">
        <f t="shared" si="33"/>
        <v>10</v>
      </c>
      <c r="BI106" s="467">
        <f t="shared" si="33"/>
        <v>3.5373187124159988E-3</v>
      </c>
    </row>
    <row r="107" spans="1:61">
      <c r="A107" s="434">
        <v>100</v>
      </c>
      <c r="B107" s="435" t="s">
        <v>116</v>
      </c>
      <c r="C107" s="436">
        <v>178079</v>
      </c>
      <c r="D107" s="434">
        <v>280</v>
      </c>
      <c r="E107" s="434">
        <v>280</v>
      </c>
      <c r="F107" s="437">
        <f t="shared" si="17"/>
        <v>1</v>
      </c>
      <c r="G107" s="455">
        <v>2115</v>
      </c>
      <c r="H107" s="456">
        <v>27492</v>
      </c>
      <c r="I107" s="456">
        <v>11378</v>
      </c>
      <c r="J107" s="456">
        <v>935</v>
      </c>
      <c r="K107" s="456">
        <v>976</v>
      </c>
      <c r="L107" s="456">
        <v>2251</v>
      </c>
      <c r="M107" s="456">
        <v>1235</v>
      </c>
      <c r="N107" s="456">
        <v>47828</v>
      </c>
      <c r="O107" s="456">
        <v>2236</v>
      </c>
      <c r="P107" s="456">
        <v>1782</v>
      </c>
      <c r="Q107" s="456">
        <v>185</v>
      </c>
      <c r="R107" s="456">
        <v>552</v>
      </c>
      <c r="S107" s="456">
        <v>387</v>
      </c>
      <c r="T107" s="456">
        <v>34</v>
      </c>
      <c r="U107" s="456">
        <v>13</v>
      </c>
      <c r="V107" s="465"/>
      <c r="W107" s="456">
        <v>3730</v>
      </c>
      <c r="X107" s="456">
        <v>863</v>
      </c>
      <c r="Y107" s="456">
        <v>79</v>
      </c>
      <c r="Z107" s="456">
        <v>2765</v>
      </c>
      <c r="AA107" s="458">
        <f t="shared" si="18"/>
        <v>106836</v>
      </c>
      <c r="AB107" s="459">
        <f t="shared" si="19"/>
        <v>0.59993598346801136</v>
      </c>
      <c r="AC107" s="455">
        <f t="shared" si="20"/>
        <v>30689</v>
      </c>
      <c r="AD107" s="460"/>
      <c r="AE107" s="461" t="str">
        <f t="shared" si="21"/>
        <v>MORENA</v>
      </c>
      <c r="AF107" s="462" t="str">
        <f t="shared" si="22"/>
        <v>ninguno</v>
      </c>
      <c r="AG107" s="124" t="str">
        <f t="shared" si="23"/>
        <v>MORENA</v>
      </c>
      <c r="AH107" s="119">
        <f t="shared" si="24"/>
        <v>47828</v>
      </c>
      <c r="AI107" s="463">
        <f t="shared" si="25"/>
        <v>0.44767681305926843</v>
      </c>
      <c r="AJ107" s="464">
        <f>RANK(G107,($G107,$I107,$J107,$L107,$N107,$O107,$P107,$Q107,$W107,$X107,$Y107,$Z107,$AC107))</f>
        <v>8</v>
      </c>
      <c r="AK107" s="465"/>
      <c r="AL107" s="466">
        <f>RANK(I107,($G107,$I107,$J107,$L107,$N107,$O107,$P107,$Q107,$W107,$X107,$Y107,$Z107,$AC107))</f>
        <v>3</v>
      </c>
      <c r="AM107" s="466">
        <f>RANK(J107,($G107,$I107,$J107,$L107,$N107,$O107,$P107,$Q107,$W107,$X107,$Y107,$Z107,$AC107))</f>
        <v>10</v>
      </c>
      <c r="AN107" s="457"/>
      <c r="AO107" s="466">
        <f>RANK(L107,($G107,$I107,$J107,$L107,$N107,$O107,$P107,$Q107,$W107,$X107,$Y107,$Z107,$AC107))</f>
        <v>6</v>
      </c>
      <c r="AP107" s="457"/>
      <c r="AQ107" s="466">
        <f>RANK(N107,($G107,$I107,$J107,$L107,$N107,$O107,$P107,$Q107,$W107,$X107,$Y107,$Z107,$AC107))</f>
        <v>1</v>
      </c>
      <c r="AR107" s="466">
        <f>RANK(O107,($G107,$I107,$J107,$L107,$N107,$O107,$P107,$Q107,$W107,$X107,$Y107,$Z107,$AC107))</f>
        <v>7</v>
      </c>
      <c r="AS107" s="466">
        <f>RANK(P107,($G107,$I107,$J107,$L107,$N107,$O107,$P107,$Q107,$W107,$X107,$Y107,$Z107,$AC107))</f>
        <v>9</v>
      </c>
      <c r="AT107" s="466">
        <f>RANK(Q107,($G107,$I107,$J107,$L107,$N107,$O107,$P107,$Q107,$W107,$X107,$Y107,$Z107,$AC107))</f>
        <v>12</v>
      </c>
      <c r="AU107" s="466">
        <f>RANK(W107,($G107,$I107,$J107,$L107,$N107,$O107,$P107,$Q107,$W107,$X107,$Y107,$Z107,$AC107))</f>
        <v>4</v>
      </c>
      <c r="AV107" s="466">
        <f>RANK(X107,($G107,$I107,$J107,$L107,$N107,$O107,$P107,$Q107,$W107,$X107,$Y107,$Z107,$AC107))</f>
        <v>11</v>
      </c>
      <c r="AW107" s="466">
        <f>RANK(Y107,($G107,$I107,$J107,$L107,$N107,$O107,$P107,$Q107,$W107,$X107,$Y107,$Z107,$AC107))</f>
        <v>13</v>
      </c>
      <c r="AX107" s="466">
        <f>RANK(Z107,($G107,$I107,$J107,$L107,$N107,$O107,$P107,$Q107,$W107,$X107,$Y107,$Z107,$AC107))</f>
        <v>5</v>
      </c>
      <c r="AY107" s="466">
        <f>RANK(AC107,($G107,$I107,$J107,$L107,$N107,$O107,$P107,$Q107,$W107,$X107,$Y107,$Z107,$AC107))</f>
        <v>2</v>
      </c>
      <c r="AZ107" s="460"/>
      <c r="BA107" s="461" t="str">
        <f t="shared" si="26"/>
        <v>otro</v>
      </c>
      <c r="BB107" s="124" t="str">
        <f t="shared" si="27"/>
        <v>PRI-PVEM-NA</v>
      </c>
      <c r="BC107" s="124" t="str">
        <f t="shared" si="28"/>
        <v>PRI-PVEM-NA</v>
      </c>
      <c r="BD107" s="119" t="str">
        <f t="shared" si="29"/>
        <v>otro</v>
      </c>
      <c r="BE107" s="119">
        <f t="shared" si="30"/>
        <v>30689</v>
      </c>
      <c r="BF107" s="119">
        <f t="shared" si="31"/>
        <v>30689</v>
      </c>
      <c r="BG107" s="467">
        <f t="shared" si="32"/>
        <v>0.28725336029053877</v>
      </c>
      <c r="BH107" s="468">
        <f t="shared" si="33"/>
        <v>17139</v>
      </c>
      <c r="BI107" s="467">
        <f t="shared" si="33"/>
        <v>0.16042345276872966</v>
      </c>
    </row>
    <row r="108" spans="1:61">
      <c r="A108" s="434">
        <v>101</v>
      </c>
      <c r="B108" s="435" t="s">
        <v>117</v>
      </c>
      <c r="C108" s="436">
        <v>25599</v>
      </c>
      <c r="D108" s="434">
        <v>39</v>
      </c>
      <c r="E108" s="434">
        <v>39</v>
      </c>
      <c r="F108" s="437">
        <f t="shared" si="17"/>
        <v>1</v>
      </c>
      <c r="G108" s="455">
        <v>501</v>
      </c>
      <c r="H108" s="456">
        <v>3514</v>
      </c>
      <c r="I108" s="456">
        <v>3759</v>
      </c>
      <c r="J108" s="456">
        <v>2443</v>
      </c>
      <c r="K108" s="456">
        <v>130</v>
      </c>
      <c r="L108" s="456">
        <v>348</v>
      </c>
      <c r="M108" s="456">
        <v>173</v>
      </c>
      <c r="N108" s="456">
        <v>1314</v>
      </c>
      <c r="O108" s="456">
        <v>435</v>
      </c>
      <c r="P108" s="465"/>
      <c r="Q108" s="465"/>
      <c r="R108" s="456">
        <v>123</v>
      </c>
      <c r="S108" s="456">
        <v>50</v>
      </c>
      <c r="T108" s="456">
        <v>7</v>
      </c>
      <c r="U108" s="456">
        <v>0</v>
      </c>
      <c r="V108" s="456">
        <v>95</v>
      </c>
      <c r="W108" s="457"/>
      <c r="X108" s="457"/>
      <c r="Y108" s="456">
        <v>12</v>
      </c>
      <c r="Z108" s="456">
        <v>350</v>
      </c>
      <c r="AA108" s="458">
        <f t="shared" si="18"/>
        <v>13254</v>
      </c>
      <c r="AB108" s="459">
        <f t="shared" si="19"/>
        <v>0.51775459978905425</v>
      </c>
      <c r="AC108" s="455">
        <f t="shared" si="20"/>
        <v>3997</v>
      </c>
      <c r="AD108" s="458">
        <f>G108+J108+V108</f>
        <v>3039</v>
      </c>
      <c r="AE108" s="461" t="str">
        <f t="shared" si="21"/>
        <v>otro</v>
      </c>
      <c r="AF108" s="462" t="str">
        <f t="shared" si="22"/>
        <v>PRI-PVEM-NA</v>
      </c>
      <c r="AG108" s="124" t="str">
        <f t="shared" si="23"/>
        <v>PRI-PVEM-NA</v>
      </c>
      <c r="AH108" s="119">
        <f t="shared" si="24"/>
        <v>3997</v>
      </c>
      <c r="AI108" s="463">
        <f t="shared" si="25"/>
        <v>0.30156933755847293</v>
      </c>
      <c r="AJ108" s="470"/>
      <c r="AK108" s="465"/>
      <c r="AL108" s="466">
        <f>RANK(I108,($I108,$L108,$N108,$O108,$P108,$Q108,$W108,$X108,$Y108,$Z108,$AC108,$AD108))</f>
        <v>2</v>
      </c>
      <c r="AM108" s="465"/>
      <c r="AN108" s="457"/>
      <c r="AO108" s="466">
        <f>RANK(L108,($I108,$L108,$N108,$O108,$P108,$Q108,$W108,$X108,$Y108,$Z108,$AC108,$AD108))</f>
        <v>7</v>
      </c>
      <c r="AP108" s="457"/>
      <c r="AQ108" s="466">
        <f>RANK(N108,($I108,$L108,$N108,$O108,$P108,$Q108,$W108,$X108,$Y108,$Z108,$AC108,$AD108))</f>
        <v>4</v>
      </c>
      <c r="AR108" s="466">
        <f>RANK(O108,($I108,$L108,$N108,$O108,$P108,$Q108,$W108,$X108,$Y108,$Z108,$AC108,$AD108))</f>
        <v>5</v>
      </c>
      <c r="AS108" s="457"/>
      <c r="AT108" s="457"/>
      <c r="AU108" s="457"/>
      <c r="AV108" s="457"/>
      <c r="AW108" s="466">
        <f>RANK(Y108,($I108,$L108,$N108,$O108,$P108,$Q108,$W108,$X108,$Y108,$Z108,$AC108,$AD108))</f>
        <v>8</v>
      </c>
      <c r="AX108" s="466">
        <f>RANK(Z108,($I108,$L108,$N108,$O108,$P108,$Q108,$W108,$X108,$Y108,$Z108,$AC108,$AD108))</f>
        <v>6</v>
      </c>
      <c r="AY108" s="466">
        <f>RANK(AC108,($I108,$L108,$N108,$O108,$P108,$Q108,$W108,$X108,$Y108,$Z108,$AC108,$AD108))</f>
        <v>1</v>
      </c>
      <c r="AZ108" s="471">
        <f>RANK(AD108,($I108,$L108,$N108,$O108,$P108,$Q108,$W108,$X108,$Y108,$Z108,$AC108,$AD108))</f>
        <v>3</v>
      </c>
      <c r="BA108" s="461" t="str">
        <f t="shared" si="26"/>
        <v>PRD</v>
      </c>
      <c r="BB108" s="124" t="str">
        <f t="shared" si="27"/>
        <v>ninguno</v>
      </c>
      <c r="BC108" s="124" t="str">
        <f t="shared" si="28"/>
        <v>PRD</v>
      </c>
      <c r="BD108" s="119">
        <f t="shared" si="29"/>
        <v>3759</v>
      </c>
      <c r="BE108" s="119" t="str">
        <f t="shared" si="30"/>
        <v>ninguno</v>
      </c>
      <c r="BF108" s="119">
        <f t="shared" si="31"/>
        <v>3759</v>
      </c>
      <c r="BG108" s="467">
        <f t="shared" si="32"/>
        <v>0.2836124943413309</v>
      </c>
      <c r="BH108" s="468">
        <f t="shared" si="33"/>
        <v>238</v>
      </c>
      <c r="BI108" s="467">
        <f t="shared" si="33"/>
        <v>1.7956843217142027E-2</v>
      </c>
    </row>
    <row r="109" spans="1:61">
      <c r="A109" s="434">
        <v>102</v>
      </c>
      <c r="B109" s="435" t="s">
        <v>118</v>
      </c>
      <c r="C109" s="436">
        <v>49024</v>
      </c>
      <c r="D109" s="434">
        <v>80</v>
      </c>
      <c r="E109" s="434">
        <v>80</v>
      </c>
      <c r="F109" s="437">
        <f t="shared" si="17"/>
        <v>1</v>
      </c>
      <c r="G109" s="455">
        <v>9099</v>
      </c>
      <c r="H109" s="456">
        <v>8531</v>
      </c>
      <c r="I109" s="456">
        <v>2666</v>
      </c>
      <c r="J109" s="456">
        <v>736</v>
      </c>
      <c r="K109" s="456">
        <v>327</v>
      </c>
      <c r="L109" s="457"/>
      <c r="M109" s="456">
        <v>549</v>
      </c>
      <c r="N109" s="456">
        <v>931</v>
      </c>
      <c r="O109" s="456">
        <v>1184</v>
      </c>
      <c r="P109" s="456">
        <v>714</v>
      </c>
      <c r="Q109" s="456">
        <v>315</v>
      </c>
      <c r="R109" s="456">
        <v>61</v>
      </c>
      <c r="S109" s="456">
        <v>105</v>
      </c>
      <c r="T109" s="456">
        <v>19</v>
      </c>
      <c r="U109" s="456">
        <v>3</v>
      </c>
      <c r="V109" s="456">
        <v>126</v>
      </c>
      <c r="W109" s="457"/>
      <c r="X109" s="457"/>
      <c r="Y109" s="456">
        <v>10</v>
      </c>
      <c r="Z109" s="456">
        <v>917</v>
      </c>
      <c r="AA109" s="458">
        <f t="shared" si="18"/>
        <v>26293</v>
      </c>
      <c r="AB109" s="459">
        <f t="shared" si="19"/>
        <v>0.53632914490861616</v>
      </c>
      <c r="AC109" s="455">
        <f t="shared" si="20"/>
        <v>9595</v>
      </c>
      <c r="AD109" s="458">
        <f>G109+J109+V109</f>
        <v>9961</v>
      </c>
      <c r="AE109" s="461" t="str">
        <f t="shared" si="21"/>
        <v>otro</v>
      </c>
      <c r="AF109" s="462" t="str">
        <f t="shared" si="22"/>
        <v>PAN-PT</v>
      </c>
      <c r="AG109" s="124" t="str">
        <f t="shared" si="23"/>
        <v>PAN-PT</v>
      </c>
      <c r="AH109" s="119">
        <f t="shared" si="24"/>
        <v>9961</v>
      </c>
      <c r="AI109" s="463">
        <f t="shared" si="25"/>
        <v>0.37884608070589132</v>
      </c>
      <c r="AJ109" s="470"/>
      <c r="AK109" s="465"/>
      <c r="AL109" s="466">
        <f>RANK(I109,($I109,$L109,$N109,$O109,$P109,$Q109,$W109,$X109,$Y109,$Z109,$AC109,$AD109))</f>
        <v>3</v>
      </c>
      <c r="AM109" s="465"/>
      <c r="AN109" s="457"/>
      <c r="AO109" s="457"/>
      <c r="AP109" s="457"/>
      <c r="AQ109" s="466">
        <f>RANK(N109,($I109,$L109,$N109,$O109,$P109,$Q109,$W109,$X109,$Y109,$Z109,$AC109,$AD109))</f>
        <v>5</v>
      </c>
      <c r="AR109" s="466">
        <f>RANK(O109,($I109,$L109,$N109,$O109,$P109,$Q109,$W109,$X109,$Y109,$Z109,$AC109,$AD109))</f>
        <v>4</v>
      </c>
      <c r="AS109" s="466">
        <f>RANK(P109,($I109,$L109,$N109,$O109,$P109,$Q109,$W109,$X109,$Y109,$Z109,$AC109,$AD109))</f>
        <v>7</v>
      </c>
      <c r="AT109" s="466">
        <f>RANK(Q109,($I109,$L109,$N109,$O109,$P109,$Q109,$W109,$X109,$Y109,$Z109,$AC109,$AD109))</f>
        <v>8</v>
      </c>
      <c r="AU109" s="457"/>
      <c r="AV109" s="457"/>
      <c r="AW109" s="466">
        <f>RANK(Y109,($I109,$L109,$N109,$O109,$P109,$Q109,$W109,$X109,$Y109,$Z109,$AC109,$AD109))</f>
        <v>9</v>
      </c>
      <c r="AX109" s="466">
        <f>RANK(Z109,($I109,$L109,$N109,$O109,$P109,$Q109,$W109,$X109,$Y109,$Z109,$AC109,$AD109))</f>
        <v>6</v>
      </c>
      <c r="AY109" s="466">
        <f>RANK(AC109,($I109,$L109,$N109,$O109,$P109,$Q109,$W109,$X109,$Y109,$Z109,$AC109,$AD109))</f>
        <v>2</v>
      </c>
      <c r="AZ109" s="471">
        <f>RANK(AD109,($I109,$L109,$N109,$O109,$P109,$Q109,$W109,$X109,$Y109,$Z109,$AC109,$AD109))</f>
        <v>1</v>
      </c>
      <c r="BA109" s="461" t="str">
        <f t="shared" si="26"/>
        <v>otro</v>
      </c>
      <c r="BB109" s="124" t="str">
        <f t="shared" si="27"/>
        <v>PRI-PVEM-NA</v>
      </c>
      <c r="BC109" s="124" t="str">
        <f t="shared" si="28"/>
        <v>PRI-PVEM-NA</v>
      </c>
      <c r="BD109" s="119" t="str">
        <f t="shared" si="29"/>
        <v>otro</v>
      </c>
      <c r="BE109" s="119">
        <f t="shared" si="30"/>
        <v>9595</v>
      </c>
      <c r="BF109" s="119">
        <f t="shared" si="31"/>
        <v>9595</v>
      </c>
      <c r="BG109" s="467">
        <f t="shared" si="32"/>
        <v>0.36492602593846268</v>
      </c>
      <c r="BH109" s="468">
        <f t="shared" si="33"/>
        <v>366</v>
      </c>
      <c r="BI109" s="467">
        <f t="shared" si="33"/>
        <v>1.3920054767428636E-2</v>
      </c>
    </row>
    <row r="110" spans="1:61">
      <c r="A110" s="434">
        <v>103</v>
      </c>
      <c r="B110" s="435" t="s">
        <v>119</v>
      </c>
      <c r="C110" s="436">
        <v>12124</v>
      </c>
      <c r="D110" s="434">
        <v>24</v>
      </c>
      <c r="E110" s="434">
        <v>24</v>
      </c>
      <c r="F110" s="437">
        <f t="shared" si="17"/>
        <v>1</v>
      </c>
      <c r="G110" s="455">
        <v>3905</v>
      </c>
      <c r="H110" s="456">
        <v>4523</v>
      </c>
      <c r="I110" s="456">
        <v>456</v>
      </c>
      <c r="J110" s="457"/>
      <c r="K110" s="456">
        <v>70</v>
      </c>
      <c r="L110" s="457"/>
      <c r="M110" s="456">
        <v>217</v>
      </c>
      <c r="N110" s="456">
        <v>69</v>
      </c>
      <c r="O110" s="465"/>
      <c r="P110" s="465"/>
      <c r="Q110" s="456">
        <v>15</v>
      </c>
      <c r="R110" s="465"/>
      <c r="S110" s="465"/>
      <c r="T110" s="465"/>
      <c r="U110" s="465"/>
      <c r="V110" s="465"/>
      <c r="W110" s="457"/>
      <c r="X110" s="457"/>
      <c r="Y110" s="456">
        <v>1</v>
      </c>
      <c r="Z110" s="456">
        <v>231</v>
      </c>
      <c r="AA110" s="458">
        <f t="shared" si="18"/>
        <v>9487</v>
      </c>
      <c r="AB110" s="459">
        <f t="shared" si="19"/>
        <v>0.78249752556911911</v>
      </c>
      <c r="AC110" s="470"/>
      <c r="AD110" s="460"/>
      <c r="AE110" s="461" t="str">
        <f t="shared" si="21"/>
        <v>PRI</v>
      </c>
      <c r="AF110" s="462" t="str">
        <f t="shared" si="22"/>
        <v>ninguno</v>
      </c>
      <c r="AG110" s="124" t="str">
        <f t="shared" si="23"/>
        <v>PRI</v>
      </c>
      <c r="AH110" s="119">
        <f t="shared" si="24"/>
        <v>4523</v>
      </c>
      <c r="AI110" s="463">
        <f t="shared" si="25"/>
        <v>0.47675766838832084</v>
      </c>
      <c r="AJ110" s="464">
        <f>RANK(G110,($G110,$H110,$I110,$J110,$K110,$L110,$M110,$N110,$O110,$P110,$Q110,$W110,$X110,$Y110,$Z110))</f>
        <v>2</v>
      </c>
      <c r="AK110" s="466">
        <f>RANK(H110,($G110,$H110,$I110,$J110,$K110,$L110,$M110,$N110,$O110,$P110,$Q110,$W110,$X110,$Y110,$Z110))</f>
        <v>1</v>
      </c>
      <c r="AL110" s="466">
        <f>RANK(I110,($G110,$H110,$I110,$J110,$K110,$L110,$M110,$N110,$O110,$P110,$Q110,$W110,$X110,$Y110,$Z110))</f>
        <v>3</v>
      </c>
      <c r="AM110" s="465"/>
      <c r="AN110" s="466">
        <f>RANK(K110,($G110,$H110,$I110,$J110,$K110,$L110,$M110,$N110,$O110,$P110,$Q110,$W110,$X110,$Y110,$Z110))</f>
        <v>6</v>
      </c>
      <c r="AO110" s="457"/>
      <c r="AP110" s="466">
        <f>RANK(M110,($G110,$H110,$I110,$J110,$K110,$L110,$M110,$N110,$O110,$P110,$Q110,$W110,$X110,$Y110,$Z110))</f>
        <v>5</v>
      </c>
      <c r="AQ110" s="466">
        <f>RANK(N110,($G110,$H110,$I110,$J110,$K110,$L110,$M110,$N110,$O110,$P110,$Q110,$W110,$X110,$Y110,$Z110))</f>
        <v>7</v>
      </c>
      <c r="AR110" s="457"/>
      <c r="AS110" s="457"/>
      <c r="AT110" s="466">
        <f>RANK(Q110,($G110,$H110,$I110,$J110,$K110,$L110,$M110,$N110,$O110,$P110,$Q110,$W110,$X110,$Y110,$Z110))</f>
        <v>8</v>
      </c>
      <c r="AU110" s="457"/>
      <c r="AV110" s="457"/>
      <c r="AW110" s="466">
        <f>RANK(Y110,($G110,$H110,$I110,$J110,$K110,$L110,$M110,$N110,$O110,$P110,$Q110,$W110,$X110,$Y110,$Z110))</f>
        <v>9</v>
      </c>
      <c r="AX110" s="466">
        <f>RANK(Z110,($G110,$H110,$I110,$J110,$K110,$L110,$M110,$N110,$O110,$P110,$Q110,$W110,$X110,$Y110,$Z110))</f>
        <v>4</v>
      </c>
      <c r="AY110" s="465"/>
      <c r="AZ110" s="460"/>
      <c r="BA110" s="461" t="str">
        <f t="shared" si="26"/>
        <v>PAN</v>
      </c>
      <c r="BB110" s="124" t="str">
        <f t="shared" si="27"/>
        <v>ninguno</v>
      </c>
      <c r="BC110" s="124" t="str">
        <f t="shared" si="28"/>
        <v>PAN</v>
      </c>
      <c r="BD110" s="119">
        <f t="shared" si="29"/>
        <v>3905</v>
      </c>
      <c r="BE110" s="119" t="str">
        <f t="shared" si="30"/>
        <v>ninguno</v>
      </c>
      <c r="BF110" s="119">
        <f t="shared" si="31"/>
        <v>3905</v>
      </c>
      <c r="BG110" s="467">
        <f t="shared" si="32"/>
        <v>0.41161589543585958</v>
      </c>
      <c r="BH110" s="468">
        <f t="shared" si="33"/>
        <v>618</v>
      </c>
      <c r="BI110" s="467">
        <f t="shared" si="33"/>
        <v>6.5141772952461263E-2</v>
      </c>
    </row>
    <row r="111" spans="1:61">
      <c r="A111" s="434">
        <v>104</v>
      </c>
      <c r="B111" s="435" t="s">
        <v>120</v>
      </c>
      <c r="C111" s="436">
        <v>34530</v>
      </c>
      <c r="D111" s="434">
        <v>57</v>
      </c>
      <c r="E111" s="434">
        <v>57</v>
      </c>
      <c r="F111" s="437">
        <f t="shared" si="17"/>
        <v>1</v>
      </c>
      <c r="G111" s="455">
        <v>730</v>
      </c>
      <c r="H111" s="456">
        <v>5431</v>
      </c>
      <c r="I111" s="456">
        <v>322</v>
      </c>
      <c r="J111" s="456">
        <v>1476</v>
      </c>
      <c r="K111" s="456">
        <v>307</v>
      </c>
      <c r="L111" s="456">
        <v>3792</v>
      </c>
      <c r="M111" s="456">
        <v>173</v>
      </c>
      <c r="N111" s="456">
        <v>895</v>
      </c>
      <c r="O111" s="456">
        <v>248</v>
      </c>
      <c r="P111" s="456">
        <v>4256</v>
      </c>
      <c r="Q111" s="456">
        <v>331</v>
      </c>
      <c r="R111" s="456">
        <v>21</v>
      </c>
      <c r="S111" s="456">
        <v>97</v>
      </c>
      <c r="T111" s="456">
        <v>6</v>
      </c>
      <c r="U111" s="456">
        <v>0</v>
      </c>
      <c r="V111" s="465"/>
      <c r="W111" s="457"/>
      <c r="X111" s="457"/>
      <c r="Y111" s="456">
        <v>14</v>
      </c>
      <c r="Z111" s="456">
        <v>670</v>
      </c>
      <c r="AA111" s="458">
        <f t="shared" si="18"/>
        <v>18769</v>
      </c>
      <c r="AB111" s="459">
        <f t="shared" si="19"/>
        <v>0.54355632783087171</v>
      </c>
      <c r="AC111" s="455">
        <f t="shared" si="20"/>
        <v>6035</v>
      </c>
      <c r="AD111" s="460"/>
      <c r="AE111" s="461" t="str">
        <f t="shared" si="21"/>
        <v>otro</v>
      </c>
      <c r="AF111" s="462" t="str">
        <f t="shared" si="22"/>
        <v>PRI-PVEM-NA</v>
      </c>
      <c r="AG111" s="124" t="str">
        <f t="shared" si="23"/>
        <v>PRI-PVEM-NA</v>
      </c>
      <c r="AH111" s="119">
        <f t="shared" si="24"/>
        <v>6035</v>
      </c>
      <c r="AI111" s="463">
        <f t="shared" si="25"/>
        <v>0.32154083861686822</v>
      </c>
      <c r="AJ111" s="464">
        <f>RANK(G111,($G111,$I111,$J111,$L111,$N111,$O111,$P111,$Q111,$W111,$X111,$Y111,$Z111,$AC111))</f>
        <v>6</v>
      </c>
      <c r="AK111" s="465"/>
      <c r="AL111" s="466">
        <f>RANK(I111,($G111,$I111,$J111,$L111,$N111,$O111,$P111,$Q111,$W111,$X111,$Y111,$Z111,$AC111))</f>
        <v>9</v>
      </c>
      <c r="AM111" s="466">
        <f>RANK(J111,($G111,$I111,$J111,$L111,$N111,$O111,$P111,$Q111,$W111,$X111,$Y111,$Z111,$AC111))</f>
        <v>4</v>
      </c>
      <c r="AN111" s="457"/>
      <c r="AO111" s="466">
        <f>RANK(L111,($G111,$I111,$J111,$L111,$N111,$O111,$P111,$Q111,$W111,$X111,$Y111,$Z111,$AC111))</f>
        <v>3</v>
      </c>
      <c r="AP111" s="457"/>
      <c r="AQ111" s="466">
        <f>RANK(N111,($G111,$I111,$J111,$L111,$N111,$O111,$P111,$Q111,$W111,$X111,$Y111,$Z111,$AC111))</f>
        <v>5</v>
      </c>
      <c r="AR111" s="466">
        <f>RANK(O111,($G111,$I111,$J111,$L111,$N111,$O111,$P111,$Q111,$W111,$X111,$Y111,$Z111,$AC111))</f>
        <v>10</v>
      </c>
      <c r="AS111" s="466">
        <f>RANK(P111,($G111,$I111,$J111,$L111,$N111,$O111,$P111,$Q111,$W111,$X111,$Y111,$Z111,$AC111))</f>
        <v>2</v>
      </c>
      <c r="AT111" s="466">
        <f>RANK(Q111,($G111,$I111,$J111,$L111,$N111,$O111,$P111,$Q111,$W111,$X111,$Y111,$Z111,$AC111))</f>
        <v>8</v>
      </c>
      <c r="AU111" s="457"/>
      <c r="AV111" s="457"/>
      <c r="AW111" s="466">
        <f>RANK(Y111,($G111,$I111,$J111,$L111,$N111,$O111,$P111,$Q111,$W111,$X111,$Y111,$Z111,$AC111))</f>
        <v>11</v>
      </c>
      <c r="AX111" s="466">
        <f>RANK(Z111,($G111,$I111,$J111,$L111,$N111,$O111,$P111,$Q111,$W111,$X111,$Y111,$Z111,$AC111))</f>
        <v>7</v>
      </c>
      <c r="AY111" s="466">
        <f>RANK(AC111,($G111,$I111,$J111,$L111,$N111,$O111,$P111,$Q111,$W111,$X111,$Y111,$Z111,$AC111))</f>
        <v>1</v>
      </c>
      <c r="AZ111" s="460"/>
      <c r="BA111" s="461" t="str">
        <f t="shared" si="26"/>
        <v>otro</v>
      </c>
      <c r="BB111" s="124" t="str">
        <f t="shared" si="27"/>
        <v>ES</v>
      </c>
      <c r="BC111" s="124" t="str">
        <f t="shared" si="28"/>
        <v>ES</v>
      </c>
      <c r="BD111" s="119" t="str">
        <f t="shared" si="29"/>
        <v>otro</v>
      </c>
      <c r="BE111" s="119">
        <f t="shared" si="30"/>
        <v>4256</v>
      </c>
      <c r="BF111" s="119">
        <f t="shared" si="31"/>
        <v>4256</v>
      </c>
      <c r="BG111" s="467">
        <f t="shared" si="32"/>
        <v>0.22675688635516011</v>
      </c>
      <c r="BH111" s="468">
        <f t="shared" si="33"/>
        <v>1779</v>
      </c>
      <c r="BI111" s="467">
        <f t="shared" si="33"/>
        <v>9.4783952261708104E-2</v>
      </c>
    </row>
    <row r="112" spans="1:61">
      <c r="A112" s="434">
        <v>105</v>
      </c>
      <c r="B112" s="435" t="s">
        <v>698</v>
      </c>
      <c r="C112" s="436">
        <v>545744</v>
      </c>
      <c r="D112" s="434">
        <v>921</v>
      </c>
      <c r="E112" s="434">
        <v>921</v>
      </c>
      <c r="F112" s="437">
        <f t="shared" si="17"/>
        <v>1</v>
      </c>
      <c r="G112" s="455">
        <v>62690</v>
      </c>
      <c r="H112" s="456">
        <v>68228</v>
      </c>
      <c r="I112" s="456">
        <v>27169</v>
      </c>
      <c r="J112" s="456">
        <v>4113</v>
      </c>
      <c r="K112" s="456">
        <v>7003</v>
      </c>
      <c r="L112" s="456">
        <v>6422</v>
      </c>
      <c r="M112" s="456">
        <v>5856</v>
      </c>
      <c r="N112" s="456">
        <v>25829</v>
      </c>
      <c r="O112" s="456">
        <v>7202</v>
      </c>
      <c r="P112" s="456">
        <v>13061</v>
      </c>
      <c r="Q112" s="456">
        <v>1559</v>
      </c>
      <c r="R112" s="456">
        <v>491</v>
      </c>
      <c r="S112" s="456">
        <v>1093</v>
      </c>
      <c r="T112" s="456">
        <v>45</v>
      </c>
      <c r="U112" s="456">
        <v>17</v>
      </c>
      <c r="V112" s="456">
        <v>291</v>
      </c>
      <c r="W112" s="457"/>
      <c r="X112" s="457"/>
      <c r="Y112" s="456">
        <v>434</v>
      </c>
      <c r="Z112" s="456">
        <v>13362</v>
      </c>
      <c r="AA112" s="458">
        <f t="shared" si="18"/>
        <v>244865</v>
      </c>
      <c r="AB112" s="459">
        <f t="shared" si="19"/>
        <v>0.44868106658066786</v>
      </c>
      <c r="AC112" s="455">
        <f t="shared" si="20"/>
        <v>82733</v>
      </c>
      <c r="AD112" s="458">
        <f>G112+J112+V112</f>
        <v>67094</v>
      </c>
      <c r="AE112" s="461" t="str">
        <f t="shared" si="21"/>
        <v>otro</v>
      </c>
      <c r="AF112" s="462" t="str">
        <f t="shared" si="22"/>
        <v>PRI-PVEM-NA</v>
      </c>
      <c r="AG112" s="124" t="str">
        <f t="shared" si="23"/>
        <v>PRI-PVEM-NA</v>
      </c>
      <c r="AH112" s="119">
        <f t="shared" si="24"/>
        <v>82733</v>
      </c>
      <c r="AI112" s="463">
        <f t="shared" si="25"/>
        <v>0.33787188859167294</v>
      </c>
      <c r="AJ112" s="470"/>
      <c r="AK112" s="466">
        <f>RANK(H112,($G112,$H112,$I112,$J112,$K112,$L112,$M112,$N112,$O112,$P112,$Q112,$W112,$X112,$Y112,$Z112,$AC112,$AD112))</f>
        <v>2</v>
      </c>
      <c r="AL112" s="466">
        <f>RANK(I112,($G112,$H112,$I112,$J112,$K112,$L112,$M112,$N112,$O112,$P112,$Q112,$W112,$X112,$Y112,$Z112,$AC112,$AD112))</f>
        <v>5</v>
      </c>
      <c r="AM112" s="465"/>
      <c r="AN112" s="466">
        <f>RANK(K112,($G112,$H112,$I112,$J112,$K112,$L112,$M112,$N112,$O112,$P112,$Q112,$W112,$X112,$Y112,$Z112,$AC112,$AD112))</f>
        <v>10</v>
      </c>
      <c r="AO112" s="466">
        <f>RANK(L112,($G112,$H112,$I112,$J112,$K112,$L112,$M112,$N112,$O112,$P112,$Q112,$W112,$X112,$Y112,$Z112,$AC112,$AD112))</f>
        <v>11</v>
      </c>
      <c r="AP112" s="466">
        <f>RANK(M112,($G112,$H112,$I112,$J112,$K112,$L112,$M112,$N112,$O112,$P112,$Q112,$W112,$X112,$Y112,$Z112,$AC112,$AD112))</f>
        <v>12</v>
      </c>
      <c r="AQ112" s="466">
        <f>RANK(N112,($G112,$H112,$I112,$J112,$K112,$L112,$M112,$N112,$O112,$P112,$Q112,$W112,$X112,$Y112,$Z112,$AC112,$AD112))</f>
        <v>6</v>
      </c>
      <c r="AR112" s="466">
        <f>RANK(O112,($G112,$H112,$I112,$J112,$K112,$L112,$M112,$N112,$O112,$P112,$Q112,$W112,$X112,$Y112,$Z112,$AC112,$AD112))</f>
        <v>9</v>
      </c>
      <c r="AS112" s="466">
        <f>RANK(P112,($G112,$H112,$I112,$J112,$K112,$L112,$M112,$N112,$O112,$P112,$Q112,$W112,$X112,$Y112,$Z112,$AC112,$AD112))</f>
        <v>8</v>
      </c>
      <c r="AT112" s="466">
        <f>RANK(Q112,($G112,$H112,$I112,$J112,$K112,$L112,$M112,$N112,$O112,$P112,$Q112,$W112,$X112,$Y112,$Z112,$AC112,$AD112))</f>
        <v>14</v>
      </c>
      <c r="AU112" s="457"/>
      <c r="AV112" s="457"/>
      <c r="AW112" s="466">
        <f>RANK(Y112,($G112,$H112,$I112,$J112,$K112,$L112,$M112,$N112,$O112,$P112,$Q112,$W112,$X112,$Y112,$Z112,$AC112,$AD112))</f>
        <v>15</v>
      </c>
      <c r="AX112" s="466">
        <f>RANK(Z112,($G112,$H112,$I112,$J112,$K112,$L112,$M112,$N112,$O112,$P112,$Q112,$W112,$X112,$Y112,$Z112,$AC112,$AD112))</f>
        <v>7</v>
      </c>
      <c r="AY112" s="466">
        <f>RANK(AC112,($G112,$H112,$I112,$J112,$K112,$L112,$M112,$N112,$O112,$P112,$Q112,$W112,$X112,$Y112,$Z112,$AC112,$AD112))</f>
        <v>1</v>
      </c>
      <c r="AZ112" s="471">
        <f>RANK(AD112,($G112,$H112,$I112,$J112,$K112,$L112,$M112,$N112,$O112,$P112,$Q112,$W112,$X112,$Y112,$Z112,$AC112,$AD112))</f>
        <v>3</v>
      </c>
      <c r="BA112" s="461" t="str">
        <f t="shared" si="26"/>
        <v>PRI</v>
      </c>
      <c r="BB112" s="124" t="str">
        <f t="shared" si="27"/>
        <v>ninguno</v>
      </c>
      <c r="BC112" s="124" t="str">
        <f t="shared" si="28"/>
        <v>PRI</v>
      </c>
      <c r="BD112" s="119">
        <f t="shared" si="29"/>
        <v>68228</v>
      </c>
      <c r="BE112" s="119" t="str">
        <f t="shared" si="30"/>
        <v>ninguno</v>
      </c>
      <c r="BF112" s="119">
        <f t="shared" si="31"/>
        <v>68228</v>
      </c>
      <c r="BG112" s="467">
        <f t="shared" si="32"/>
        <v>0.27863516631613339</v>
      </c>
      <c r="BH112" s="468">
        <f t="shared" si="33"/>
        <v>14505</v>
      </c>
      <c r="BI112" s="467">
        <f t="shared" si="33"/>
        <v>5.9236722275539555E-2</v>
      </c>
    </row>
    <row r="113" spans="1:61">
      <c r="A113" s="434">
        <v>106</v>
      </c>
      <c r="B113" s="435" t="s">
        <v>121</v>
      </c>
      <c r="C113" s="436">
        <v>25861</v>
      </c>
      <c r="D113" s="434">
        <v>56</v>
      </c>
      <c r="E113" s="434">
        <v>56</v>
      </c>
      <c r="F113" s="437">
        <f t="shared" si="17"/>
        <v>1</v>
      </c>
      <c r="G113" s="455">
        <v>115</v>
      </c>
      <c r="H113" s="456">
        <v>7311</v>
      </c>
      <c r="I113" s="456">
        <v>12034</v>
      </c>
      <c r="J113" s="457"/>
      <c r="K113" s="456">
        <v>104</v>
      </c>
      <c r="L113" s="457"/>
      <c r="M113" s="456">
        <v>114</v>
      </c>
      <c r="N113" s="456">
        <v>26</v>
      </c>
      <c r="O113" s="465"/>
      <c r="P113" s="465"/>
      <c r="Q113" s="465"/>
      <c r="R113" s="456">
        <v>47</v>
      </c>
      <c r="S113" s="456">
        <v>60</v>
      </c>
      <c r="T113" s="456">
        <v>6</v>
      </c>
      <c r="U113" s="456">
        <v>0</v>
      </c>
      <c r="V113" s="465"/>
      <c r="W113" s="457"/>
      <c r="X113" s="457"/>
      <c r="Y113" s="456">
        <v>0</v>
      </c>
      <c r="Z113" s="456">
        <v>208</v>
      </c>
      <c r="AA113" s="458">
        <f t="shared" si="18"/>
        <v>20025</v>
      </c>
      <c r="AB113" s="459">
        <f t="shared" si="19"/>
        <v>0.77433200572290317</v>
      </c>
      <c r="AC113" s="455">
        <f t="shared" si="20"/>
        <v>7642</v>
      </c>
      <c r="AD113" s="460"/>
      <c r="AE113" s="461" t="str">
        <f t="shared" si="21"/>
        <v>PRD</v>
      </c>
      <c r="AF113" s="462" t="str">
        <f t="shared" si="22"/>
        <v>ninguno</v>
      </c>
      <c r="AG113" s="124" t="str">
        <f t="shared" si="23"/>
        <v>PRD</v>
      </c>
      <c r="AH113" s="119">
        <f t="shared" si="24"/>
        <v>12034</v>
      </c>
      <c r="AI113" s="463">
        <f t="shared" si="25"/>
        <v>0.60094881398252187</v>
      </c>
      <c r="AJ113" s="464">
        <f>RANK(G113,($G113,$I113,$J113,$L113,$N113,$O113,$P113,$Q113,$W113,$X113,$Y113,$Z113,$AC113))</f>
        <v>4</v>
      </c>
      <c r="AK113" s="465"/>
      <c r="AL113" s="466">
        <f>RANK(I113,($G113,$I113,$J113,$L113,$N113,$O113,$P113,$Q113,$W113,$X113,$Y113,$Z113,$AC113))</f>
        <v>1</v>
      </c>
      <c r="AM113" s="465"/>
      <c r="AN113" s="457"/>
      <c r="AO113" s="457"/>
      <c r="AP113" s="457"/>
      <c r="AQ113" s="466">
        <f>RANK(N113,($G113,$I113,$J113,$L113,$N113,$O113,$P113,$Q113,$W113,$X113,$Y113,$Z113,$AC113))</f>
        <v>5</v>
      </c>
      <c r="AR113" s="457"/>
      <c r="AS113" s="457"/>
      <c r="AT113" s="457"/>
      <c r="AU113" s="457"/>
      <c r="AV113" s="457"/>
      <c r="AW113" s="466">
        <f>RANK(Y113,($G113,$I113,$J113,$L113,$N113,$O113,$P113,$Q113,$W113,$X113,$Y113,$Z113,$AC113))</f>
        <v>6</v>
      </c>
      <c r="AX113" s="466">
        <f>RANK(Z113,($G113,$I113,$J113,$L113,$N113,$O113,$P113,$Q113,$W113,$X113,$Y113,$Z113,$AC113))</f>
        <v>3</v>
      </c>
      <c r="AY113" s="466">
        <f>RANK(AC113,($G113,$I113,$J113,$L113,$N113,$O113,$P113,$Q113,$W113,$X113,$Y113,$Z113,$AC113))</f>
        <v>2</v>
      </c>
      <c r="AZ113" s="460"/>
      <c r="BA113" s="461" t="str">
        <f t="shared" si="26"/>
        <v>otro</v>
      </c>
      <c r="BB113" s="124" t="str">
        <f t="shared" si="27"/>
        <v>PRI-PVEM-NA</v>
      </c>
      <c r="BC113" s="124" t="str">
        <f t="shared" si="28"/>
        <v>PRI-PVEM-NA</v>
      </c>
      <c r="BD113" s="119" t="str">
        <f t="shared" si="29"/>
        <v>otro</v>
      </c>
      <c r="BE113" s="119">
        <f t="shared" si="30"/>
        <v>7642</v>
      </c>
      <c r="BF113" s="119">
        <f t="shared" si="31"/>
        <v>7642</v>
      </c>
      <c r="BG113" s="467">
        <f t="shared" si="32"/>
        <v>0.38162297128589262</v>
      </c>
      <c r="BH113" s="468">
        <f t="shared" si="33"/>
        <v>4392</v>
      </c>
      <c r="BI113" s="467">
        <f t="shared" si="33"/>
        <v>0.21932584269662925</v>
      </c>
    </row>
    <row r="114" spans="1:61">
      <c r="A114" s="434">
        <v>107</v>
      </c>
      <c r="B114" s="435" t="s">
        <v>122</v>
      </c>
      <c r="C114" s="436">
        <v>588778</v>
      </c>
      <c r="D114" s="434">
        <v>931</v>
      </c>
      <c r="E114" s="434">
        <v>931</v>
      </c>
      <c r="F114" s="437">
        <f t="shared" si="17"/>
        <v>1</v>
      </c>
      <c r="G114" s="455">
        <v>81735</v>
      </c>
      <c r="H114" s="456">
        <v>104321</v>
      </c>
      <c r="I114" s="456">
        <v>20162</v>
      </c>
      <c r="J114" s="456">
        <v>12456</v>
      </c>
      <c r="K114" s="456">
        <v>7706</v>
      </c>
      <c r="L114" s="456">
        <v>8999</v>
      </c>
      <c r="M114" s="456">
        <v>9522</v>
      </c>
      <c r="N114" s="456">
        <v>17600</v>
      </c>
      <c r="O114" s="456">
        <v>7878</v>
      </c>
      <c r="P114" s="456">
        <v>13383</v>
      </c>
      <c r="Q114" s="456">
        <v>1683</v>
      </c>
      <c r="R114" s="456">
        <v>377</v>
      </c>
      <c r="S114" s="456">
        <v>942</v>
      </c>
      <c r="T114" s="456">
        <v>101</v>
      </c>
      <c r="U114" s="456">
        <v>36</v>
      </c>
      <c r="V114" s="465"/>
      <c r="W114" s="457"/>
      <c r="X114" s="457"/>
      <c r="Y114" s="456">
        <v>385</v>
      </c>
      <c r="Z114" s="456">
        <v>12398</v>
      </c>
      <c r="AA114" s="458">
        <f t="shared" si="18"/>
        <v>299684</v>
      </c>
      <c r="AB114" s="459">
        <f t="shared" si="19"/>
        <v>0.50899320287103123</v>
      </c>
      <c r="AC114" s="455">
        <f t="shared" si="20"/>
        <v>123005</v>
      </c>
      <c r="AD114" s="460"/>
      <c r="AE114" s="461" t="str">
        <f t="shared" si="21"/>
        <v>otro</v>
      </c>
      <c r="AF114" s="462" t="str">
        <f t="shared" si="22"/>
        <v>PRI-PVEM-NA</v>
      </c>
      <c r="AG114" s="124" t="str">
        <f t="shared" si="23"/>
        <v>PRI-PVEM-NA</v>
      </c>
      <c r="AH114" s="119">
        <f t="shared" si="24"/>
        <v>123005</v>
      </c>
      <c r="AI114" s="463">
        <f t="shared" si="25"/>
        <v>0.4104490062866219</v>
      </c>
      <c r="AJ114" s="464">
        <f>RANK(G114,($G114,$I114,$J114,$L114,$N114,$O114,$P114,$Q114,$W114,$X114,$Y114,$Z114,$AC114))</f>
        <v>2</v>
      </c>
      <c r="AK114" s="465"/>
      <c r="AL114" s="466">
        <f>RANK(I114,($G114,$I114,$J114,$L114,$N114,$O114,$P114,$Q114,$W114,$X114,$Y114,$Z114,$AC114))</f>
        <v>3</v>
      </c>
      <c r="AM114" s="466">
        <f>RANK(J114,($G114,$I114,$J114,$L114,$N114,$O114,$P114,$Q114,$W114,$X114,$Y114,$Z114,$AC114))</f>
        <v>6</v>
      </c>
      <c r="AN114" s="457"/>
      <c r="AO114" s="466">
        <f>RANK(L114,($G114,$I114,$J114,$L114,$N114,$O114,$P114,$Q114,$W114,$X114,$Y114,$Z114,$AC114))</f>
        <v>8</v>
      </c>
      <c r="AP114" s="457"/>
      <c r="AQ114" s="466">
        <f>RANK(N114,($G114,$I114,$J114,$L114,$N114,$O114,$P114,$Q114,$W114,$X114,$Y114,$Z114,$AC114))</f>
        <v>4</v>
      </c>
      <c r="AR114" s="466">
        <f>RANK(O114,($G114,$I114,$J114,$L114,$N114,$O114,$P114,$Q114,$W114,$X114,$Y114,$Z114,$AC114))</f>
        <v>9</v>
      </c>
      <c r="AS114" s="466">
        <f>RANK(P114,($G114,$I114,$J114,$L114,$N114,$O114,$P114,$Q114,$W114,$X114,$Y114,$Z114,$AC114))</f>
        <v>5</v>
      </c>
      <c r="AT114" s="466">
        <f>RANK(Q114,($G114,$I114,$J114,$L114,$N114,$O114,$P114,$Q114,$W114,$X114,$Y114,$Z114,$AC114))</f>
        <v>10</v>
      </c>
      <c r="AU114" s="457"/>
      <c r="AV114" s="457"/>
      <c r="AW114" s="466">
        <f>RANK(Y114,($G114,$I114,$J114,$L114,$N114,$O114,$P114,$Q114,$W114,$X114,$Y114,$Z114,$AC114))</f>
        <v>11</v>
      </c>
      <c r="AX114" s="466">
        <f>RANK(Z114,($G114,$I114,$J114,$L114,$N114,$O114,$P114,$Q114,$W114,$X114,$Y114,$Z114,$AC114))</f>
        <v>7</v>
      </c>
      <c r="AY114" s="466">
        <f>RANK(AC114,($G114,$I114,$J114,$L114,$N114,$O114,$P114,$Q114,$W114,$X114,$Y114,$Z114,$AC114))</f>
        <v>1</v>
      </c>
      <c r="AZ114" s="460"/>
      <c r="BA114" s="461" t="str">
        <f t="shared" si="26"/>
        <v>PAN</v>
      </c>
      <c r="BB114" s="124" t="str">
        <f t="shared" si="27"/>
        <v>ninguno</v>
      </c>
      <c r="BC114" s="124" t="str">
        <f t="shared" si="28"/>
        <v>PAN</v>
      </c>
      <c r="BD114" s="119">
        <f t="shared" si="29"/>
        <v>81735</v>
      </c>
      <c r="BE114" s="119" t="str">
        <f t="shared" si="30"/>
        <v>ninguno</v>
      </c>
      <c r="BF114" s="119">
        <f t="shared" si="31"/>
        <v>81735</v>
      </c>
      <c r="BG114" s="467">
        <f t="shared" si="32"/>
        <v>0.27273728327171287</v>
      </c>
      <c r="BH114" s="468">
        <f t="shared" si="33"/>
        <v>41270</v>
      </c>
      <c r="BI114" s="467">
        <f t="shared" si="33"/>
        <v>0.13771172301490903</v>
      </c>
    </row>
    <row r="115" spans="1:61">
      <c r="A115" s="434">
        <v>108</v>
      </c>
      <c r="B115" s="435" t="s">
        <v>123</v>
      </c>
      <c r="C115" s="436">
        <v>9828</v>
      </c>
      <c r="D115" s="434">
        <v>19</v>
      </c>
      <c r="E115" s="434">
        <v>19</v>
      </c>
      <c r="F115" s="437">
        <f t="shared" si="17"/>
        <v>1</v>
      </c>
      <c r="G115" s="455">
        <v>456</v>
      </c>
      <c r="H115" s="456">
        <v>3525</v>
      </c>
      <c r="I115" s="456">
        <v>1971</v>
      </c>
      <c r="J115" s="456">
        <v>90</v>
      </c>
      <c r="K115" s="456">
        <v>24</v>
      </c>
      <c r="L115" s="457"/>
      <c r="M115" s="456">
        <v>27</v>
      </c>
      <c r="N115" s="456">
        <v>215</v>
      </c>
      <c r="O115" s="456">
        <v>832</v>
      </c>
      <c r="P115" s="465"/>
      <c r="Q115" s="456">
        <v>7</v>
      </c>
      <c r="R115" s="456">
        <v>7</v>
      </c>
      <c r="S115" s="456">
        <v>13</v>
      </c>
      <c r="T115" s="456">
        <v>0</v>
      </c>
      <c r="U115" s="456">
        <v>0</v>
      </c>
      <c r="V115" s="465"/>
      <c r="W115" s="457"/>
      <c r="X115" s="457"/>
      <c r="Y115" s="456">
        <v>0</v>
      </c>
      <c r="Z115" s="456">
        <v>139</v>
      </c>
      <c r="AA115" s="458">
        <f t="shared" si="18"/>
        <v>7306</v>
      </c>
      <c r="AB115" s="459">
        <f t="shared" si="19"/>
        <v>0.74338624338624337</v>
      </c>
      <c r="AC115" s="455">
        <f t="shared" si="20"/>
        <v>3596</v>
      </c>
      <c r="AD115" s="460"/>
      <c r="AE115" s="461" t="str">
        <f t="shared" si="21"/>
        <v>otro</v>
      </c>
      <c r="AF115" s="462" t="str">
        <f t="shared" si="22"/>
        <v>PRI-PVEM-NA</v>
      </c>
      <c r="AG115" s="124" t="str">
        <f t="shared" si="23"/>
        <v>PRI-PVEM-NA</v>
      </c>
      <c r="AH115" s="119">
        <f t="shared" si="24"/>
        <v>3596</v>
      </c>
      <c r="AI115" s="463">
        <f t="shared" si="25"/>
        <v>0.49219819326580894</v>
      </c>
      <c r="AJ115" s="464">
        <f>RANK(G115,($G115,$I115,$J115,$L115,$N115,$O115,$P115,$Q115,$W115,$X115,$Y115,$Z115,$AC115))</f>
        <v>4</v>
      </c>
      <c r="AK115" s="465"/>
      <c r="AL115" s="466">
        <f>RANK(I115,($G115,$I115,$J115,$L115,$N115,$O115,$P115,$Q115,$W115,$X115,$Y115,$Z115,$AC115))</f>
        <v>2</v>
      </c>
      <c r="AM115" s="466">
        <f>RANK(J115,($G115,$I115,$J115,$L115,$N115,$O115,$P115,$Q115,$W115,$X115,$Y115,$Z115,$AC115))</f>
        <v>7</v>
      </c>
      <c r="AN115" s="457"/>
      <c r="AO115" s="457"/>
      <c r="AP115" s="457"/>
      <c r="AQ115" s="466">
        <f>RANK(N115,($G115,$I115,$J115,$L115,$N115,$O115,$P115,$Q115,$W115,$X115,$Y115,$Z115,$AC115))</f>
        <v>5</v>
      </c>
      <c r="AR115" s="466">
        <f>RANK(O115,($G115,$I115,$J115,$L115,$N115,$O115,$P115,$Q115,$W115,$X115,$Y115,$Z115,$AC115))</f>
        <v>3</v>
      </c>
      <c r="AS115" s="457"/>
      <c r="AT115" s="466">
        <f>RANK(Q115,($G115,$I115,$J115,$L115,$N115,$O115,$P115,$Q115,$W115,$X115,$Y115,$Z115,$AC115))</f>
        <v>8</v>
      </c>
      <c r="AU115" s="457"/>
      <c r="AV115" s="457"/>
      <c r="AW115" s="466">
        <f>RANK(Y115,($G115,$I115,$J115,$L115,$N115,$O115,$P115,$Q115,$W115,$X115,$Y115,$Z115,$AC115))</f>
        <v>9</v>
      </c>
      <c r="AX115" s="466">
        <f>RANK(Z115,($G115,$I115,$J115,$L115,$N115,$O115,$P115,$Q115,$W115,$X115,$Y115,$Z115,$AC115))</f>
        <v>6</v>
      </c>
      <c r="AY115" s="466">
        <f>RANK(AC115,($G115,$I115,$J115,$L115,$N115,$O115,$P115,$Q115,$W115,$X115,$Y115,$Z115,$AC115))</f>
        <v>1</v>
      </c>
      <c r="AZ115" s="460"/>
      <c r="BA115" s="461" t="str">
        <f t="shared" si="26"/>
        <v>PRD</v>
      </c>
      <c r="BB115" s="124" t="str">
        <f t="shared" si="27"/>
        <v>ninguno</v>
      </c>
      <c r="BC115" s="124" t="str">
        <f t="shared" si="28"/>
        <v>PRD</v>
      </c>
      <c r="BD115" s="119">
        <f t="shared" si="29"/>
        <v>1971</v>
      </c>
      <c r="BE115" s="119" t="str">
        <f t="shared" si="30"/>
        <v>ninguno</v>
      </c>
      <c r="BF115" s="119">
        <f t="shared" si="31"/>
        <v>1971</v>
      </c>
      <c r="BG115" s="467">
        <f t="shared" si="32"/>
        <v>0.26977826444018616</v>
      </c>
      <c r="BH115" s="468">
        <f t="shared" si="33"/>
        <v>1625</v>
      </c>
      <c r="BI115" s="467">
        <f t="shared" si="33"/>
        <v>0.22241992882562278</v>
      </c>
    </row>
    <row r="116" spans="1:61">
      <c r="A116" s="434">
        <v>109</v>
      </c>
      <c r="B116" s="435" t="s">
        <v>124</v>
      </c>
      <c r="C116" s="436">
        <v>103995</v>
      </c>
      <c r="D116" s="434">
        <v>154</v>
      </c>
      <c r="E116" s="434">
        <v>154</v>
      </c>
      <c r="F116" s="437">
        <f t="shared" si="17"/>
        <v>1</v>
      </c>
      <c r="G116" s="455">
        <v>5391</v>
      </c>
      <c r="H116" s="456">
        <v>15117</v>
      </c>
      <c r="I116" s="456">
        <v>18745</v>
      </c>
      <c r="J116" s="456">
        <v>620</v>
      </c>
      <c r="K116" s="456">
        <v>804</v>
      </c>
      <c r="L116" s="456">
        <v>1084</v>
      </c>
      <c r="M116" s="456">
        <v>802</v>
      </c>
      <c r="N116" s="456">
        <v>4132</v>
      </c>
      <c r="O116" s="456">
        <v>790</v>
      </c>
      <c r="P116" s="456">
        <v>1624</v>
      </c>
      <c r="Q116" s="456">
        <v>163</v>
      </c>
      <c r="R116" s="456">
        <v>62</v>
      </c>
      <c r="S116" s="456">
        <v>150</v>
      </c>
      <c r="T116" s="456">
        <v>10</v>
      </c>
      <c r="U116" s="456">
        <v>5</v>
      </c>
      <c r="V116" s="465"/>
      <c r="W116" s="457"/>
      <c r="X116" s="457"/>
      <c r="Y116" s="456">
        <v>47</v>
      </c>
      <c r="Z116" s="456">
        <v>1485</v>
      </c>
      <c r="AA116" s="458">
        <f t="shared" si="18"/>
        <v>51031</v>
      </c>
      <c r="AB116" s="459">
        <f t="shared" si="19"/>
        <v>0.49070628395595944</v>
      </c>
      <c r="AC116" s="455">
        <f t="shared" si="20"/>
        <v>16950</v>
      </c>
      <c r="AD116" s="460"/>
      <c r="AE116" s="461" t="str">
        <f t="shared" si="21"/>
        <v>PRD</v>
      </c>
      <c r="AF116" s="462" t="str">
        <f t="shared" si="22"/>
        <v>ninguno</v>
      </c>
      <c r="AG116" s="124" t="str">
        <f t="shared" si="23"/>
        <v>PRD</v>
      </c>
      <c r="AH116" s="119">
        <f t="shared" si="24"/>
        <v>18745</v>
      </c>
      <c r="AI116" s="463">
        <f t="shared" si="25"/>
        <v>0.3673257431757167</v>
      </c>
      <c r="AJ116" s="464">
        <f>RANK(G116,($G116,$I116,$J116,$L116,$N116,$O116,$P116,$Q116,$W116,$X116,$Y116,$Z116,$AC116))</f>
        <v>3</v>
      </c>
      <c r="AK116" s="465"/>
      <c r="AL116" s="466">
        <f>RANK(I116,($G116,$I116,$J116,$L116,$N116,$O116,$P116,$Q116,$W116,$X116,$Y116,$Z116,$AC116))</f>
        <v>1</v>
      </c>
      <c r="AM116" s="466">
        <f>RANK(J116,($G116,$I116,$J116,$L116,$N116,$O116,$P116,$Q116,$W116,$X116,$Y116,$Z116,$AC116))</f>
        <v>9</v>
      </c>
      <c r="AN116" s="457"/>
      <c r="AO116" s="466">
        <f>RANK(L116,($G116,$I116,$J116,$L116,$N116,$O116,$P116,$Q116,$W116,$X116,$Y116,$Z116,$AC116))</f>
        <v>7</v>
      </c>
      <c r="AP116" s="457"/>
      <c r="AQ116" s="466">
        <f>RANK(N116,($G116,$I116,$J116,$L116,$N116,$O116,$P116,$Q116,$W116,$X116,$Y116,$Z116,$AC116))</f>
        <v>4</v>
      </c>
      <c r="AR116" s="466">
        <f>RANK(O116,($G116,$I116,$J116,$L116,$N116,$O116,$P116,$Q116,$W116,$X116,$Y116,$Z116,$AC116))</f>
        <v>8</v>
      </c>
      <c r="AS116" s="466">
        <f>RANK(P116,($G116,$I116,$J116,$L116,$N116,$O116,$P116,$Q116,$W116,$X116,$Y116,$Z116,$AC116))</f>
        <v>5</v>
      </c>
      <c r="AT116" s="466">
        <f>RANK(Q116,($G116,$I116,$J116,$L116,$N116,$O116,$P116,$Q116,$W116,$X116,$Y116,$Z116,$AC116))</f>
        <v>10</v>
      </c>
      <c r="AU116" s="457"/>
      <c r="AV116" s="457"/>
      <c r="AW116" s="466">
        <f>RANK(Y116,($G116,$I116,$J116,$L116,$N116,$O116,$P116,$Q116,$W116,$X116,$Y116,$Z116,$AC116))</f>
        <v>11</v>
      </c>
      <c r="AX116" s="466">
        <f>RANK(Z116,($G116,$I116,$J116,$L116,$N116,$O116,$P116,$Q116,$W116,$X116,$Y116,$Z116,$AC116))</f>
        <v>6</v>
      </c>
      <c r="AY116" s="466">
        <f>RANK(AC116,($G116,$I116,$J116,$L116,$N116,$O116,$P116,$Q116,$W116,$X116,$Y116,$Z116,$AC116))</f>
        <v>2</v>
      </c>
      <c r="AZ116" s="460"/>
      <c r="BA116" s="461" t="str">
        <f t="shared" si="26"/>
        <v>otro</v>
      </c>
      <c r="BB116" s="124" t="str">
        <f t="shared" si="27"/>
        <v>PRI-PVEM-NA</v>
      </c>
      <c r="BC116" s="124" t="str">
        <f t="shared" si="28"/>
        <v>PRI-PVEM-NA</v>
      </c>
      <c r="BD116" s="119" t="str">
        <f t="shared" si="29"/>
        <v>otro</v>
      </c>
      <c r="BE116" s="119">
        <f t="shared" si="30"/>
        <v>16950</v>
      </c>
      <c r="BF116" s="119">
        <f t="shared" si="31"/>
        <v>16950</v>
      </c>
      <c r="BG116" s="467">
        <f t="shared" si="32"/>
        <v>0.33215104544296603</v>
      </c>
      <c r="BH116" s="468">
        <f t="shared" si="33"/>
        <v>1795</v>
      </c>
      <c r="BI116" s="467">
        <f t="shared" si="33"/>
        <v>3.517469773275067E-2</v>
      </c>
    </row>
    <row r="117" spans="1:61">
      <c r="A117" s="434">
        <v>110</v>
      </c>
      <c r="B117" s="435" t="s">
        <v>125</v>
      </c>
      <c r="C117" s="436">
        <v>339630</v>
      </c>
      <c r="D117" s="434">
        <v>547</v>
      </c>
      <c r="E117" s="434">
        <v>547</v>
      </c>
      <c r="F117" s="437">
        <f t="shared" si="17"/>
        <v>1</v>
      </c>
      <c r="G117" s="455">
        <v>12833</v>
      </c>
      <c r="H117" s="456">
        <v>44071</v>
      </c>
      <c r="I117" s="456">
        <v>27600</v>
      </c>
      <c r="J117" s="456">
        <v>5245</v>
      </c>
      <c r="K117" s="456">
        <v>4859</v>
      </c>
      <c r="L117" s="456">
        <v>8348</v>
      </c>
      <c r="M117" s="456">
        <v>4194</v>
      </c>
      <c r="N117" s="456">
        <v>17937</v>
      </c>
      <c r="O117" s="456">
        <v>4922</v>
      </c>
      <c r="P117" s="456">
        <v>8810</v>
      </c>
      <c r="Q117" s="465"/>
      <c r="R117" s="456">
        <v>1052</v>
      </c>
      <c r="S117" s="456">
        <v>1039</v>
      </c>
      <c r="T117" s="456">
        <v>312</v>
      </c>
      <c r="U117" s="456">
        <v>89</v>
      </c>
      <c r="V117" s="465"/>
      <c r="W117" s="457"/>
      <c r="X117" s="457"/>
      <c r="Y117" s="456">
        <v>218</v>
      </c>
      <c r="Z117" s="456">
        <v>6722</v>
      </c>
      <c r="AA117" s="458">
        <f t="shared" si="18"/>
        <v>148251</v>
      </c>
      <c r="AB117" s="459">
        <f t="shared" si="19"/>
        <v>0.4365073756735271</v>
      </c>
      <c r="AC117" s="455">
        <f t="shared" si="20"/>
        <v>55616</v>
      </c>
      <c r="AD117" s="460"/>
      <c r="AE117" s="461" t="str">
        <f t="shared" si="21"/>
        <v>otro</v>
      </c>
      <c r="AF117" s="462" t="str">
        <f t="shared" si="22"/>
        <v>PRI-PVEM-NA</v>
      </c>
      <c r="AG117" s="124" t="str">
        <f t="shared" si="23"/>
        <v>PRI-PVEM-NA</v>
      </c>
      <c r="AH117" s="119">
        <f t="shared" si="24"/>
        <v>55616</v>
      </c>
      <c r="AI117" s="463">
        <f t="shared" si="25"/>
        <v>0.37514755381076687</v>
      </c>
      <c r="AJ117" s="464">
        <f>RANK(G117,($G117,$I117,$J117,$L117,$N117,$O117,$P117,$Q117,$W117,$X117,$Y117,$Z117,$AC117))</f>
        <v>4</v>
      </c>
      <c r="AK117" s="465"/>
      <c r="AL117" s="466">
        <f>RANK(I117,($G117,$I117,$J117,$L117,$N117,$O117,$P117,$Q117,$W117,$X117,$Y117,$Z117,$AC117))</f>
        <v>2</v>
      </c>
      <c r="AM117" s="466">
        <f>RANK(J117,($G117,$I117,$J117,$L117,$N117,$O117,$P117,$Q117,$W117,$X117,$Y117,$Z117,$AC117))</f>
        <v>8</v>
      </c>
      <c r="AN117" s="457"/>
      <c r="AO117" s="466">
        <f>RANK(L117,($G117,$I117,$J117,$L117,$N117,$O117,$P117,$Q117,$W117,$X117,$Y117,$Z117,$AC117))</f>
        <v>6</v>
      </c>
      <c r="AP117" s="457"/>
      <c r="AQ117" s="466">
        <f>RANK(N117,($G117,$I117,$J117,$L117,$N117,$O117,$P117,$Q117,$W117,$X117,$Y117,$Z117,$AC117))</f>
        <v>3</v>
      </c>
      <c r="AR117" s="466">
        <f>RANK(O117,($G117,$I117,$J117,$L117,$N117,$O117,$P117,$Q117,$W117,$X117,$Y117,$Z117,$AC117))</f>
        <v>9</v>
      </c>
      <c r="AS117" s="466">
        <f>RANK(P117,($G117,$I117,$J117,$L117,$N117,$O117,$P117,$Q117,$W117,$X117,$Y117,$Z117,$AC117))</f>
        <v>5</v>
      </c>
      <c r="AT117" s="457"/>
      <c r="AU117" s="457"/>
      <c r="AV117" s="457"/>
      <c r="AW117" s="466">
        <f>RANK(Y117,($G117,$I117,$J117,$L117,$N117,$O117,$P117,$Q117,$W117,$X117,$Y117,$Z117,$AC117))</f>
        <v>10</v>
      </c>
      <c r="AX117" s="466">
        <f>RANK(Z117,($G117,$I117,$J117,$L117,$N117,$O117,$P117,$Q117,$W117,$X117,$Y117,$Z117,$AC117))</f>
        <v>7</v>
      </c>
      <c r="AY117" s="466">
        <f>RANK(AC117,($G117,$I117,$J117,$L117,$N117,$O117,$P117,$Q117,$W117,$X117,$Y117,$Z117,$AC117))</f>
        <v>1</v>
      </c>
      <c r="AZ117" s="460"/>
      <c r="BA117" s="461" t="str">
        <f t="shared" si="26"/>
        <v>PRD</v>
      </c>
      <c r="BB117" s="124" t="str">
        <f t="shared" si="27"/>
        <v>ninguno</v>
      </c>
      <c r="BC117" s="124" t="str">
        <f t="shared" si="28"/>
        <v>PRD</v>
      </c>
      <c r="BD117" s="119">
        <f t="shared" si="29"/>
        <v>27600</v>
      </c>
      <c r="BE117" s="119" t="str">
        <f t="shared" si="30"/>
        <v>ninguno</v>
      </c>
      <c r="BF117" s="119">
        <f t="shared" si="31"/>
        <v>27600</v>
      </c>
      <c r="BG117" s="467">
        <f t="shared" si="32"/>
        <v>0.18617075095614868</v>
      </c>
      <c r="BH117" s="468">
        <f t="shared" si="33"/>
        <v>28016</v>
      </c>
      <c r="BI117" s="467">
        <f t="shared" si="33"/>
        <v>0.18897680285461818</v>
      </c>
    </row>
    <row r="118" spans="1:61">
      <c r="A118" s="434">
        <v>111</v>
      </c>
      <c r="B118" s="435" t="s">
        <v>513</v>
      </c>
      <c r="C118" s="436">
        <v>47568</v>
      </c>
      <c r="D118" s="434">
        <v>82</v>
      </c>
      <c r="E118" s="434">
        <v>82</v>
      </c>
      <c r="F118" s="437">
        <f t="shared" si="17"/>
        <v>1</v>
      </c>
      <c r="G118" s="455">
        <v>5743</v>
      </c>
      <c r="H118" s="456">
        <v>11209</v>
      </c>
      <c r="I118" s="456">
        <v>1931</v>
      </c>
      <c r="J118" s="456">
        <v>3383</v>
      </c>
      <c r="K118" s="456">
        <v>564</v>
      </c>
      <c r="L118" s="456">
        <v>4113</v>
      </c>
      <c r="M118" s="456">
        <v>526</v>
      </c>
      <c r="N118" s="456">
        <v>1614</v>
      </c>
      <c r="O118" s="456">
        <v>335</v>
      </c>
      <c r="P118" s="456">
        <v>243</v>
      </c>
      <c r="Q118" s="465"/>
      <c r="R118" s="456">
        <v>38</v>
      </c>
      <c r="S118" s="456">
        <v>125</v>
      </c>
      <c r="T118" s="456">
        <v>24</v>
      </c>
      <c r="U118" s="456">
        <v>7</v>
      </c>
      <c r="V118" s="465"/>
      <c r="W118" s="457"/>
      <c r="X118" s="457"/>
      <c r="Y118" s="456">
        <v>16</v>
      </c>
      <c r="Z118" s="456">
        <v>793</v>
      </c>
      <c r="AA118" s="458">
        <f t="shared" si="18"/>
        <v>30664</v>
      </c>
      <c r="AB118" s="459">
        <f t="shared" si="19"/>
        <v>0.64463504877228384</v>
      </c>
      <c r="AC118" s="455">
        <f t="shared" si="20"/>
        <v>12493</v>
      </c>
      <c r="AD118" s="460"/>
      <c r="AE118" s="461" t="str">
        <f t="shared" si="21"/>
        <v>otro</v>
      </c>
      <c r="AF118" s="462" t="str">
        <f t="shared" si="22"/>
        <v>PRI-PVEM-NA</v>
      </c>
      <c r="AG118" s="124" t="str">
        <f t="shared" si="23"/>
        <v>PRI-PVEM-NA</v>
      </c>
      <c r="AH118" s="119">
        <f t="shared" si="24"/>
        <v>12493</v>
      </c>
      <c r="AI118" s="463">
        <f t="shared" si="25"/>
        <v>0.4074158622488912</v>
      </c>
      <c r="AJ118" s="464">
        <f>RANK(G118,($G118,$I118,$J118,$L118,$N118,$O118,$P118,$Q118,$W118,$X118,$Y118,$Z118,$AC118))</f>
        <v>2</v>
      </c>
      <c r="AK118" s="465"/>
      <c r="AL118" s="466">
        <f>RANK(I118,($G118,$I118,$J118,$L118,$N118,$O118,$P118,$Q118,$W118,$X118,$Y118,$Z118,$AC118))</f>
        <v>5</v>
      </c>
      <c r="AM118" s="466">
        <f>RANK(J118,($G118,$I118,$J118,$L118,$N118,$O118,$P118,$Q118,$W118,$X118,$Y118,$Z118,$AC118))</f>
        <v>4</v>
      </c>
      <c r="AN118" s="457"/>
      <c r="AO118" s="466">
        <f>RANK(L118,($G118,$I118,$J118,$L118,$N118,$O118,$P118,$Q118,$W118,$X118,$Y118,$Z118,$AC118))</f>
        <v>3</v>
      </c>
      <c r="AP118" s="457"/>
      <c r="AQ118" s="466">
        <f>RANK(N118,($G118,$I118,$J118,$L118,$N118,$O118,$P118,$Q118,$W118,$X118,$Y118,$Z118,$AC118))</f>
        <v>6</v>
      </c>
      <c r="AR118" s="466">
        <f>RANK(O118,($G118,$I118,$J118,$L118,$N118,$O118,$P118,$Q118,$W118,$X118,$Y118,$Z118,$AC118))</f>
        <v>8</v>
      </c>
      <c r="AS118" s="466">
        <f>RANK(P118,($G118,$I118,$J118,$L118,$N118,$O118,$P118,$Q118,$W118,$X118,$Y118,$Z118,$AC118))</f>
        <v>9</v>
      </c>
      <c r="AT118" s="457"/>
      <c r="AU118" s="457"/>
      <c r="AV118" s="457"/>
      <c r="AW118" s="466">
        <f>RANK(Y118,($G118,$I118,$J118,$L118,$N118,$O118,$P118,$Q118,$W118,$X118,$Y118,$Z118,$AC118))</f>
        <v>10</v>
      </c>
      <c r="AX118" s="466">
        <f>RANK(Z118,($G118,$I118,$J118,$L118,$N118,$O118,$P118,$Q118,$W118,$X118,$Y118,$Z118,$AC118))</f>
        <v>7</v>
      </c>
      <c r="AY118" s="466">
        <f>RANK(AC118,($G118,$I118,$J118,$L118,$N118,$O118,$P118,$Q118,$W118,$X118,$Y118,$Z118,$AC118))</f>
        <v>1</v>
      </c>
      <c r="AZ118" s="460"/>
      <c r="BA118" s="461" t="str">
        <f t="shared" si="26"/>
        <v>PAN</v>
      </c>
      <c r="BB118" s="124" t="str">
        <f t="shared" si="27"/>
        <v>ninguno</v>
      </c>
      <c r="BC118" s="124" t="str">
        <f t="shared" si="28"/>
        <v>PAN</v>
      </c>
      <c r="BD118" s="119">
        <f t="shared" si="29"/>
        <v>5743</v>
      </c>
      <c r="BE118" s="119" t="str">
        <f t="shared" si="30"/>
        <v>ninguno</v>
      </c>
      <c r="BF118" s="119">
        <f t="shared" si="31"/>
        <v>5743</v>
      </c>
      <c r="BG118" s="467">
        <f t="shared" si="32"/>
        <v>0.18728802504565614</v>
      </c>
      <c r="BH118" s="468">
        <f t="shared" si="33"/>
        <v>6750</v>
      </c>
      <c r="BI118" s="467">
        <f t="shared" si="33"/>
        <v>0.22012783720323506</v>
      </c>
    </row>
    <row r="119" spans="1:61">
      <c r="A119" s="434">
        <v>112</v>
      </c>
      <c r="B119" s="435" t="s">
        <v>126</v>
      </c>
      <c r="C119" s="436">
        <v>30416</v>
      </c>
      <c r="D119" s="434">
        <v>55</v>
      </c>
      <c r="E119" s="434">
        <v>55</v>
      </c>
      <c r="F119" s="437">
        <f t="shared" si="17"/>
        <v>1</v>
      </c>
      <c r="G119" s="455">
        <v>1733</v>
      </c>
      <c r="H119" s="456">
        <v>7348</v>
      </c>
      <c r="I119" s="456">
        <v>10476</v>
      </c>
      <c r="J119" s="456">
        <v>205</v>
      </c>
      <c r="K119" s="456">
        <v>225</v>
      </c>
      <c r="L119" s="457"/>
      <c r="M119" s="456">
        <v>150</v>
      </c>
      <c r="N119" s="456">
        <v>133</v>
      </c>
      <c r="O119" s="456">
        <v>266</v>
      </c>
      <c r="P119" s="456">
        <v>66</v>
      </c>
      <c r="Q119" s="465"/>
      <c r="R119" s="456">
        <v>84</v>
      </c>
      <c r="S119" s="456">
        <v>135</v>
      </c>
      <c r="T119" s="456">
        <v>10</v>
      </c>
      <c r="U119" s="456">
        <v>8</v>
      </c>
      <c r="V119" s="465"/>
      <c r="W119" s="457"/>
      <c r="X119" s="457"/>
      <c r="Y119" s="456">
        <v>6</v>
      </c>
      <c r="Z119" s="456">
        <v>813</v>
      </c>
      <c r="AA119" s="458">
        <f t="shared" si="18"/>
        <v>21658</v>
      </c>
      <c r="AB119" s="459">
        <f t="shared" si="19"/>
        <v>0.71205944239873753</v>
      </c>
      <c r="AC119" s="455">
        <f t="shared" si="20"/>
        <v>7960</v>
      </c>
      <c r="AD119" s="460"/>
      <c r="AE119" s="461" t="str">
        <f t="shared" si="21"/>
        <v>PRD</v>
      </c>
      <c r="AF119" s="462" t="str">
        <f t="shared" si="22"/>
        <v>ninguno</v>
      </c>
      <c r="AG119" s="124" t="str">
        <f t="shared" si="23"/>
        <v>PRD</v>
      </c>
      <c r="AH119" s="119">
        <f t="shared" si="24"/>
        <v>10476</v>
      </c>
      <c r="AI119" s="463">
        <f t="shared" si="25"/>
        <v>0.48370117277680302</v>
      </c>
      <c r="AJ119" s="464">
        <f>RANK(G119,($G119,$I119,$J119,$L119,$N119,$O119,$P119,$Q119,$W119,$X119,$Y119,$Z119,$AC119))</f>
        <v>3</v>
      </c>
      <c r="AK119" s="465"/>
      <c r="AL119" s="466">
        <f>RANK(I119,($G119,$I119,$J119,$L119,$N119,$O119,$P119,$Q119,$W119,$X119,$Y119,$Z119,$AC119))</f>
        <v>1</v>
      </c>
      <c r="AM119" s="466">
        <f>RANK(J119,($G119,$I119,$J119,$L119,$N119,$O119,$P119,$Q119,$W119,$X119,$Y119,$Z119,$AC119))</f>
        <v>6</v>
      </c>
      <c r="AN119" s="457"/>
      <c r="AO119" s="457"/>
      <c r="AP119" s="457"/>
      <c r="AQ119" s="466">
        <f>RANK(N119,($G119,$I119,$J119,$L119,$N119,$O119,$P119,$Q119,$W119,$X119,$Y119,$Z119,$AC119))</f>
        <v>7</v>
      </c>
      <c r="AR119" s="466">
        <f>RANK(O119,($G119,$I119,$J119,$L119,$N119,$O119,$P119,$Q119,$W119,$X119,$Y119,$Z119,$AC119))</f>
        <v>5</v>
      </c>
      <c r="AS119" s="466">
        <f>RANK(P119,($G119,$I119,$J119,$L119,$N119,$O119,$P119,$Q119,$W119,$X119,$Y119,$Z119,$AC119))</f>
        <v>8</v>
      </c>
      <c r="AT119" s="457"/>
      <c r="AU119" s="457"/>
      <c r="AV119" s="457"/>
      <c r="AW119" s="466">
        <f>RANK(Y119,($G119,$I119,$J119,$L119,$N119,$O119,$P119,$Q119,$W119,$X119,$Y119,$Z119,$AC119))</f>
        <v>9</v>
      </c>
      <c r="AX119" s="466">
        <f>RANK(Z119,($G119,$I119,$J119,$L119,$N119,$O119,$P119,$Q119,$W119,$X119,$Y119,$Z119,$AC119))</f>
        <v>4</v>
      </c>
      <c r="AY119" s="466">
        <f>RANK(AC119,($G119,$I119,$J119,$L119,$N119,$O119,$P119,$Q119,$W119,$X119,$Y119,$Z119,$AC119))</f>
        <v>2</v>
      </c>
      <c r="AZ119" s="460"/>
      <c r="BA119" s="461" t="str">
        <f t="shared" si="26"/>
        <v>otro</v>
      </c>
      <c r="BB119" s="124" t="str">
        <f t="shared" si="27"/>
        <v>PRI-PVEM-NA</v>
      </c>
      <c r="BC119" s="124" t="str">
        <f t="shared" si="28"/>
        <v>PRI-PVEM-NA</v>
      </c>
      <c r="BD119" s="119" t="str">
        <f t="shared" si="29"/>
        <v>otro</v>
      </c>
      <c r="BE119" s="119">
        <f t="shared" si="30"/>
        <v>7960</v>
      </c>
      <c r="BF119" s="119">
        <f t="shared" si="31"/>
        <v>7960</v>
      </c>
      <c r="BG119" s="467">
        <f t="shared" si="32"/>
        <v>0.36753162803582973</v>
      </c>
      <c r="BH119" s="468">
        <f t="shared" si="33"/>
        <v>2516</v>
      </c>
      <c r="BI119" s="467">
        <f t="shared" si="33"/>
        <v>0.1161695447409733</v>
      </c>
    </row>
    <row r="120" spans="1:61">
      <c r="A120" s="434">
        <v>113</v>
      </c>
      <c r="B120" s="435" t="s">
        <v>128</v>
      </c>
      <c r="C120" s="436">
        <v>29360</v>
      </c>
      <c r="D120" s="434">
        <v>53</v>
      </c>
      <c r="E120" s="434">
        <v>53</v>
      </c>
      <c r="F120" s="437">
        <f t="shared" si="17"/>
        <v>1</v>
      </c>
      <c r="G120" s="455">
        <v>5932</v>
      </c>
      <c r="H120" s="456">
        <v>7040</v>
      </c>
      <c r="I120" s="456">
        <v>116</v>
      </c>
      <c r="J120" s="456">
        <v>367</v>
      </c>
      <c r="K120" s="456">
        <v>122</v>
      </c>
      <c r="L120" s="456">
        <v>2458</v>
      </c>
      <c r="M120" s="456">
        <v>627</v>
      </c>
      <c r="N120" s="456">
        <v>187</v>
      </c>
      <c r="O120" s="465"/>
      <c r="P120" s="465"/>
      <c r="Q120" s="465"/>
      <c r="R120" s="465"/>
      <c r="S120" s="465"/>
      <c r="T120" s="465"/>
      <c r="U120" s="465"/>
      <c r="V120" s="465"/>
      <c r="W120" s="456">
        <v>2879</v>
      </c>
      <c r="X120" s="457"/>
      <c r="Y120" s="456">
        <v>1</v>
      </c>
      <c r="Z120" s="456">
        <v>580</v>
      </c>
      <c r="AA120" s="458">
        <f t="shared" si="18"/>
        <v>20309</v>
      </c>
      <c r="AB120" s="459">
        <f t="shared" si="19"/>
        <v>0.69172343324250685</v>
      </c>
      <c r="AC120" s="470"/>
      <c r="AD120" s="460"/>
      <c r="AE120" s="461" t="str">
        <f t="shared" si="21"/>
        <v>PRI</v>
      </c>
      <c r="AF120" s="462" t="str">
        <f t="shared" si="22"/>
        <v>ninguno</v>
      </c>
      <c r="AG120" s="124" t="str">
        <f t="shared" si="23"/>
        <v>PRI</v>
      </c>
      <c r="AH120" s="119">
        <f t="shared" si="24"/>
        <v>7040</v>
      </c>
      <c r="AI120" s="463">
        <f t="shared" si="25"/>
        <v>0.34664434487173174</v>
      </c>
      <c r="AJ120" s="464">
        <f>RANK(G120,($G120,$H120,$I120,$J120,$K120,$L120,$M120,$N120,$O120,$P120,$Q120,$W120,$X120,$Y120,$Z120))</f>
        <v>2</v>
      </c>
      <c r="AK120" s="466">
        <f>RANK(H120,($G120,$H120,$I120,$J120,$K120,$L120,$M120,$N120,$O120,$P120,$Q120,$W120,$X120,$Y120,$Z120))</f>
        <v>1</v>
      </c>
      <c r="AL120" s="466">
        <f>RANK(I120,($G120,$H120,$I120,$J120,$K120,$L120,$M120,$N120,$O120,$P120,$Q120,$W120,$X120,$Y120,$Z120))</f>
        <v>10</v>
      </c>
      <c r="AM120" s="466">
        <f>RANK(J120,($G120,$H120,$I120,$J120,$K120,$L120,$M120,$N120,$O120,$P120,$Q120,$W120,$X120,$Y120,$Z120))</f>
        <v>7</v>
      </c>
      <c r="AN120" s="466">
        <f>RANK(K120,($G120,$H120,$I120,$J120,$K120,$L120,$M120,$N120,$O120,$P120,$Q120,$W120,$X120,$Y120,$Z120))</f>
        <v>9</v>
      </c>
      <c r="AO120" s="466">
        <f>RANK(L120,($G120,$H120,$I120,$J120,$K120,$L120,$M120,$N120,$O120,$P120,$Q120,$W120,$X120,$Y120,$Z120))</f>
        <v>4</v>
      </c>
      <c r="AP120" s="466">
        <f>RANK(M120,($G120,$H120,$I120,$J120,$K120,$L120,$M120,$N120,$O120,$P120,$Q120,$W120,$X120,$Y120,$Z120))</f>
        <v>5</v>
      </c>
      <c r="AQ120" s="466">
        <f>RANK(N120,($G120,$H120,$I120,$J120,$K120,$L120,$M120,$N120,$O120,$P120,$Q120,$W120,$X120,$Y120,$Z120))</f>
        <v>8</v>
      </c>
      <c r="AR120" s="457"/>
      <c r="AS120" s="457"/>
      <c r="AT120" s="457"/>
      <c r="AU120" s="466">
        <f>RANK(W120,($G120,$H120,$I120,$J120,$K120,$L120,$M120,$N120,$O120,$P120,$Q120,$W120,$X120,$Y120,$Z120))</f>
        <v>3</v>
      </c>
      <c r="AV120" s="457"/>
      <c r="AW120" s="466">
        <f>RANK(Y120,($G120,$H120,$I120,$J120,$K120,$L120,$M120,$N120,$O120,$P120,$Q120,$W120,$X120,$Y120,$Z120))</f>
        <v>11</v>
      </c>
      <c r="AX120" s="466">
        <f>RANK(Z120,($G120,$H120,$I120,$J120,$K120,$L120,$M120,$N120,$O120,$P120,$Q120,$W120,$X120,$Y120,$Z120))</f>
        <v>6</v>
      </c>
      <c r="AY120" s="465"/>
      <c r="AZ120" s="460"/>
      <c r="BA120" s="461" t="str">
        <f t="shared" si="26"/>
        <v>PAN</v>
      </c>
      <c r="BB120" s="124" t="str">
        <f t="shared" si="27"/>
        <v>ninguno</v>
      </c>
      <c r="BC120" s="124" t="str">
        <f t="shared" si="28"/>
        <v>PAN</v>
      </c>
      <c r="BD120" s="119">
        <f t="shared" si="29"/>
        <v>5932</v>
      </c>
      <c r="BE120" s="119" t="str">
        <f t="shared" si="30"/>
        <v>ninguno</v>
      </c>
      <c r="BF120" s="119">
        <f t="shared" si="31"/>
        <v>5932</v>
      </c>
      <c r="BG120" s="467">
        <f t="shared" si="32"/>
        <v>0.29208725195726032</v>
      </c>
      <c r="BH120" s="468">
        <f t="shared" si="33"/>
        <v>1108</v>
      </c>
      <c r="BI120" s="467">
        <f t="shared" si="33"/>
        <v>5.4557092914471417E-2</v>
      </c>
    </row>
    <row r="121" spans="1:61">
      <c r="A121" s="434">
        <v>114</v>
      </c>
      <c r="B121" s="435" t="s">
        <v>129</v>
      </c>
      <c r="C121" s="436">
        <v>39324</v>
      </c>
      <c r="D121" s="434">
        <v>67</v>
      </c>
      <c r="E121" s="434">
        <v>67</v>
      </c>
      <c r="F121" s="437">
        <f t="shared" si="17"/>
        <v>1</v>
      </c>
      <c r="G121" s="455">
        <v>2100</v>
      </c>
      <c r="H121" s="456">
        <v>6691</v>
      </c>
      <c r="I121" s="456">
        <v>11464</v>
      </c>
      <c r="J121" s="457"/>
      <c r="K121" s="456">
        <v>162</v>
      </c>
      <c r="L121" s="456">
        <v>2647</v>
      </c>
      <c r="M121" s="456">
        <v>179</v>
      </c>
      <c r="N121" s="456">
        <v>408</v>
      </c>
      <c r="O121" s="456">
        <v>257</v>
      </c>
      <c r="P121" s="456">
        <v>86</v>
      </c>
      <c r="Q121" s="456">
        <v>27</v>
      </c>
      <c r="R121" s="456">
        <v>27</v>
      </c>
      <c r="S121" s="456">
        <v>87</v>
      </c>
      <c r="T121" s="456">
        <v>1</v>
      </c>
      <c r="U121" s="456">
        <v>1</v>
      </c>
      <c r="V121" s="465"/>
      <c r="W121" s="456">
        <v>452</v>
      </c>
      <c r="X121" s="457"/>
      <c r="Y121" s="456">
        <v>20</v>
      </c>
      <c r="Z121" s="456">
        <v>676</v>
      </c>
      <c r="AA121" s="458">
        <f t="shared" si="18"/>
        <v>25285</v>
      </c>
      <c r="AB121" s="459">
        <f t="shared" si="19"/>
        <v>0.64299155731868574</v>
      </c>
      <c r="AC121" s="455">
        <f t="shared" si="20"/>
        <v>7148</v>
      </c>
      <c r="AD121" s="460"/>
      <c r="AE121" s="461" t="str">
        <f t="shared" si="21"/>
        <v>PRD</v>
      </c>
      <c r="AF121" s="462" t="str">
        <f t="shared" si="22"/>
        <v>ninguno</v>
      </c>
      <c r="AG121" s="124" t="str">
        <f t="shared" si="23"/>
        <v>PRD</v>
      </c>
      <c r="AH121" s="119">
        <f t="shared" si="24"/>
        <v>11464</v>
      </c>
      <c r="AI121" s="463">
        <f t="shared" si="25"/>
        <v>0.45339133873838244</v>
      </c>
      <c r="AJ121" s="464">
        <f>RANK(G121,($G121,$I121,$J121,$L121,$N121,$O121,$P121,$Q121,$W121,$X121,$Y121,$Z121,$AC121))</f>
        <v>4</v>
      </c>
      <c r="AK121" s="465"/>
      <c r="AL121" s="466">
        <f>RANK(I121,($G121,$I121,$J121,$L121,$N121,$O121,$P121,$Q121,$W121,$X121,$Y121,$Z121,$AC121))</f>
        <v>1</v>
      </c>
      <c r="AM121" s="465"/>
      <c r="AN121" s="457"/>
      <c r="AO121" s="466">
        <f>RANK(L121,($G121,$I121,$J121,$L121,$N121,$O121,$P121,$Q121,$W121,$X121,$Y121,$Z121,$AC121))</f>
        <v>3</v>
      </c>
      <c r="AP121" s="457"/>
      <c r="AQ121" s="466">
        <f>RANK(N121,($G121,$I121,$J121,$L121,$N121,$O121,$P121,$Q121,$W121,$X121,$Y121,$Z121,$AC121))</f>
        <v>7</v>
      </c>
      <c r="AR121" s="466">
        <f>RANK(O121,($G121,$I121,$J121,$L121,$N121,$O121,$P121,$Q121,$W121,$X121,$Y121,$Z121,$AC121))</f>
        <v>8</v>
      </c>
      <c r="AS121" s="466">
        <f>RANK(P121,($G121,$I121,$J121,$L121,$N121,$O121,$P121,$Q121,$W121,$X121,$Y121,$Z121,$AC121))</f>
        <v>9</v>
      </c>
      <c r="AT121" s="466">
        <f>RANK(Q121,($G121,$I121,$J121,$L121,$N121,$O121,$P121,$Q121,$W121,$X121,$Y121,$Z121,$AC121))</f>
        <v>10</v>
      </c>
      <c r="AU121" s="466">
        <f>RANK(W121,($G121,$I121,$J121,$L121,$N121,$O121,$P121,$Q121,$W121,$X121,$Y121,$Z121,$AC121))</f>
        <v>6</v>
      </c>
      <c r="AV121" s="457"/>
      <c r="AW121" s="466">
        <f>RANK(Y121,($G121,$I121,$J121,$L121,$N121,$O121,$P121,$Q121,$W121,$X121,$Y121,$Z121,$AC121))</f>
        <v>11</v>
      </c>
      <c r="AX121" s="466">
        <f>RANK(Z121,($G121,$I121,$J121,$L121,$N121,$O121,$P121,$Q121,$W121,$X121,$Y121,$Z121,$AC121))</f>
        <v>5</v>
      </c>
      <c r="AY121" s="466">
        <f>RANK(AC121,($G121,$I121,$J121,$L121,$N121,$O121,$P121,$Q121,$W121,$X121,$Y121,$Z121,$AC121))</f>
        <v>2</v>
      </c>
      <c r="AZ121" s="460"/>
      <c r="BA121" s="461" t="str">
        <f t="shared" si="26"/>
        <v>otro</v>
      </c>
      <c r="BB121" s="124" t="str">
        <f t="shared" si="27"/>
        <v>PRI-PVEM-NA</v>
      </c>
      <c r="BC121" s="124" t="str">
        <f t="shared" si="28"/>
        <v>PRI-PVEM-NA</v>
      </c>
      <c r="BD121" s="119" t="str">
        <f t="shared" si="29"/>
        <v>otro</v>
      </c>
      <c r="BE121" s="119">
        <f t="shared" si="30"/>
        <v>7148</v>
      </c>
      <c r="BF121" s="119">
        <f t="shared" si="31"/>
        <v>7148</v>
      </c>
      <c r="BG121" s="467">
        <f t="shared" si="32"/>
        <v>0.28269725133478346</v>
      </c>
      <c r="BH121" s="468">
        <f t="shared" si="33"/>
        <v>4316</v>
      </c>
      <c r="BI121" s="467">
        <f t="shared" si="33"/>
        <v>0.17069408740359898</v>
      </c>
    </row>
    <row r="122" spans="1:61">
      <c r="A122" s="434">
        <v>115</v>
      </c>
      <c r="B122" s="435" t="s">
        <v>130</v>
      </c>
      <c r="C122" s="436">
        <v>58251</v>
      </c>
      <c r="D122" s="434">
        <v>106</v>
      </c>
      <c r="E122" s="434">
        <v>106</v>
      </c>
      <c r="F122" s="437">
        <f t="shared" si="17"/>
        <v>1</v>
      </c>
      <c r="G122" s="455">
        <v>12629</v>
      </c>
      <c r="H122" s="456">
        <v>25428</v>
      </c>
      <c r="I122" s="456">
        <v>293</v>
      </c>
      <c r="J122" s="456">
        <v>206</v>
      </c>
      <c r="K122" s="456">
        <v>249</v>
      </c>
      <c r="L122" s="456">
        <v>160</v>
      </c>
      <c r="M122" s="456">
        <v>210</v>
      </c>
      <c r="N122" s="456">
        <v>324</v>
      </c>
      <c r="O122" s="456">
        <v>730</v>
      </c>
      <c r="P122" s="456">
        <v>190</v>
      </c>
      <c r="Q122" s="456">
        <v>71</v>
      </c>
      <c r="R122" s="456">
        <v>20</v>
      </c>
      <c r="S122" s="456">
        <v>172</v>
      </c>
      <c r="T122" s="456">
        <v>11</v>
      </c>
      <c r="U122" s="456">
        <v>8</v>
      </c>
      <c r="V122" s="456">
        <v>21</v>
      </c>
      <c r="W122" s="457"/>
      <c r="X122" s="457"/>
      <c r="Y122" s="456">
        <v>9</v>
      </c>
      <c r="Z122" s="456">
        <v>1031</v>
      </c>
      <c r="AA122" s="458">
        <f t="shared" si="18"/>
        <v>41762</v>
      </c>
      <c r="AB122" s="459">
        <f t="shared" si="19"/>
        <v>0.71693189816483838</v>
      </c>
      <c r="AC122" s="455">
        <f t="shared" si="20"/>
        <v>26098</v>
      </c>
      <c r="AD122" s="458">
        <f>G122+J122+V122</f>
        <v>12856</v>
      </c>
      <c r="AE122" s="461" t="str">
        <f t="shared" si="21"/>
        <v>otro</v>
      </c>
      <c r="AF122" s="462" t="str">
        <f t="shared" si="22"/>
        <v>PRI-PVEM-NA</v>
      </c>
      <c r="AG122" s="124" t="str">
        <f t="shared" si="23"/>
        <v>PRI-PVEM-NA</v>
      </c>
      <c r="AH122" s="119">
        <f t="shared" si="24"/>
        <v>26098</v>
      </c>
      <c r="AI122" s="463">
        <f t="shared" si="25"/>
        <v>0.62492217805660644</v>
      </c>
      <c r="AJ122" s="470"/>
      <c r="AK122" s="465"/>
      <c r="AL122" s="466">
        <f>RANK(I122,($I122,$L122,$N122,$O122,$P122,$Q122,$W122,$X122,$Y122,$Z122,$AC122,$AD122))</f>
        <v>6</v>
      </c>
      <c r="AM122" s="465"/>
      <c r="AN122" s="457"/>
      <c r="AO122" s="466">
        <f>RANK(L122,($I122,$L122,$N122,$O122,$P122,$Q122,$W122,$X122,$Y122,$Z122,$AC122,$AD122))</f>
        <v>8</v>
      </c>
      <c r="AP122" s="457"/>
      <c r="AQ122" s="466">
        <f>RANK(N122,($I122,$L122,$N122,$O122,$P122,$Q122,$W122,$X122,$Y122,$Z122,$AC122,$AD122))</f>
        <v>5</v>
      </c>
      <c r="AR122" s="466">
        <f>RANK(O122,($I122,$L122,$N122,$O122,$P122,$Q122,$W122,$X122,$Y122,$Z122,$AC122,$AD122))</f>
        <v>4</v>
      </c>
      <c r="AS122" s="466">
        <f>RANK(P122,($I122,$L122,$N122,$O122,$P122,$Q122,$W122,$X122,$Y122,$Z122,$AC122,$AD122))</f>
        <v>7</v>
      </c>
      <c r="AT122" s="466">
        <f>RANK(Q122,($I122,$L122,$N122,$O122,$P122,$Q122,$W122,$X122,$Y122,$Z122,$AC122,$AD122))</f>
        <v>9</v>
      </c>
      <c r="AU122" s="457"/>
      <c r="AV122" s="457"/>
      <c r="AW122" s="466">
        <f>RANK(Y122,($I122,$L122,$N122,$O122,$P122,$Q122,$W122,$X122,$Y122,$Z122,$AC122,$AD122))</f>
        <v>10</v>
      </c>
      <c r="AX122" s="466">
        <f>RANK(Z122,($I122,$L122,$N122,$O122,$P122,$Q122,$W122,$X122,$Y122,$Z122,$AC122,$AD122))</f>
        <v>3</v>
      </c>
      <c r="AY122" s="466">
        <f>RANK(AC122,($I122,$L122,$N122,$O122,$P122,$Q122,$W122,$X122,$Y122,$Z122,$AC122,$AD122))</f>
        <v>1</v>
      </c>
      <c r="AZ122" s="471">
        <f>RANK(AD122,($I122,$L122,$N122,$O122,$P122,$Q122,$W122,$X122,$Y122,$Z122,$AC122,$AD122))</f>
        <v>2</v>
      </c>
      <c r="BA122" s="461" t="str">
        <f t="shared" si="26"/>
        <v>otro</v>
      </c>
      <c r="BB122" s="124" t="str">
        <f t="shared" si="27"/>
        <v>PAN-PT</v>
      </c>
      <c r="BC122" s="124" t="str">
        <f t="shared" si="28"/>
        <v>PAN-PT</v>
      </c>
      <c r="BD122" s="119" t="str">
        <f t="shared" si="29"/>
        <v>otro</v>
      </c>
      <c r="BE122" s="119">
        <f t="shared" si="30"/>
        <v>12856</v>
      </c>
      <c r="BF122" s="119">
        <f t="shared" si="31"/>
        <v>12856</v>
      </c>
      <c r="BG122" s="467">
        <f t="shared" si="32"/>
        <v>0.30783966285139602</v>
      </c>
      <c r="BH122" s="468">
        <f t="shared" si="33"/>
        <v>13242</v>
      </c>
      <c r="BI122" s="467">
        <f t="shared" si="33"/>
        <v>0.31708251520521041</v>
      </c>
    </row>
    <row r="123" spans="1:61">
      <c r="A123" s="434">
        <v>116</v>
      </c>
      <c r="B123" s="435" t="s">
        <v>131</v>
      </c>
      <c r="C123" s="436">
        <v>37396</v>
      </c>
      <c r="D123" s="434">
        <v>57</v>
      </c>
      <c r="E123" s="434">
        <v>57</v>
      </c>
      <c r="F123" s="437">
        <f t="shared" si="17"/>
        <v>1</v>
      </c>
      <c r="G123" s="455">
        <v>6805</v>
      </c>
      <c r="H123" s="456">
        <v>5955</v>
      </c>
      <c r="I123" s="456">
        <v>378</v>
      </c>
      <c r="J123" s="456">
        <v>531</v>
      </c>
      <c r="K123" s="456">
        <v>258</v>
      </c>
      <c r="L123" s="456">
        <v>7216</v>
      </c>
      <c r="M123" s="456">
        <v>238</v>
      </c>
      <c r="N123" s="456">
        <v>553</v>
      </c>
      <c r="O123" s="456">
        <v>248</v>
      </c>
      <c r="P123" s="465"/>
      <c r="Q123" s="456">
        <v>163</v>
      </c>
      <c r="R123" s="456">
        <v>17</v>
      </c>
      <c r="S123" s="456">
        <v>61</v>
      </c>
      <c r="T123" s="456">
        <v>15</v>
      </c>
      <c r="U123" s="456">
        <v>5</v>
      </c>
      <c r="V123" s="456">
        <v>123</v>
      </c>
      <c r="W123" s="457"/>
      <c r="X123" s="457"/>
      <c r="Y123" s="456">
        <v>16</v>
      </c>
      <c r="Z123" s="456">
        <v>689</v>
      </c>
      <c r="AA123" s="458">
        <f t="shared" si="18"/>
        <v>23271</v>
      </c>
      <c r="AB123" s="459">
        <f t="shared" si="19"/>
        <v>0.62228580596855276</v>
      </c>
      <c r="AC123" s="455">
        <f t="shared" si="20"/>
        <v>6549</v>
      </c>
      <c r="AD123" s="458">
        <f>G123+J123+V123</f>
        <v>7459</v>
      </c>
      <c r="AE123" s="461" t="str">
        <f t="shared" si="21"/>
        <v>otro</v>
      </c>
      <c r="AF123" s="462" t="str">
        <f t="shared" si="22"/>
        <v>PAN-PT</v>
      </c>
      <c r="AG123" s="124" t="str">
        <f t="shared" si="23"/>
        <v>PAN-PT</v>
      </c>
      <c r="AH123" s="119">
        <f t="shared" si="24"/>
        <v>7459</v>
      </c>
      <c r="AI123" s="463">
        <f t="shared" si="25"/>
        <v>0.32052769541489406</v>
      </c>
      <c r="AJ123" s="470"/>
      <c r="AK123" s="465"/>
      <c r="AL123" s="466">
        <f>RANK(I123,($I123,$L123,$N123,$O123,$P123,$Q123,$W123,$X123,$Y123,$Z123,$AC123,$AD123))</f>
        <v>6</v>
      </c>
      <c r="AM123" s="465"/>
      <c r="AN123" s="457"/>
      <c r="AO123" s="466">
        <f>RANK(L123,($I123,$L123,$N123,$O123,$P123,$Q123,$W123,$X123,$Y123,$Z123,$AC123,$AD123))</f>
        <v>2</v>
      </c>
      <c r="AP123" s="457"/>
      <c r="AQ123" s="466">
        <f>RANK(N123,($I123,$L123,$N123,$O123,$P123,$Q123,$W123,$X123,$Y123,$Z123,$AC123,$AD123))</f>
        <v>5</v>
      </c>
      <c r="AR123" s="466">
        <f>RANK(O123,($I123,$L123,$N123,$O123,$P123,$Q123,$W123,$X123,$Y123,$Z123,$AC123,$AD123))</f>
        <v>7</v>
      </c>
      <c r="AS123" s="457"/>
      <c r="AT123" s="466">
        <f>RANK(Q123,($I123,$L123,$N123,$O123,$P123,$Q123,$W123,$X123,$Y123,$Z123,$AC123,$AD123))</f>
        <v>8</v>
      </c>
      <c r="AU123" s="457"/>
      <c r="AV123" s="457"/>
      <c r="AW123" s="466">
        <f>RANK(Y123,($I123,$L123,$N123,$O123,$P123,$Q123,$W123,$X123,$Y123,$Z123,$AC123,$AD123))</f>
        <v>9</v>
      </c>
      <c r="AX123" s="466">
        <f>RANK(Z123,($I123,$L123,$N123,$O123,$P123,$Q123,$W123,$X123,$Y123,$Z123,$AC123,$AD123))</f>
        <v>4</v>
      </c>
      <c r="AY123" s="466">
        <f>RANK(AC123,($I123,$L123,$N123,$O123,$P123,$Q123,$W123,$X123,$Y123,$Z123,$AC123,$AD123))</f>
        <v>3</v>
      </c>
      <c r="AZ123" s="471">
        <f>RANK(AD123,($I123,$L123,$N123,$O123,$P123,$Q123,$W123,$X123,$Y123,$Z123,$AC123,$AD123))</f>
        <v>1</v>
      </c>
      <c r="BA123" s="461" t="str">
        <f t="shared" si="26"/>
        <v>MC</v>
      </c>
      <c r="BB123" s="124" t="str">
        <f t="shared" si="27"/>
        <v>ninguno</v>
      </c>
      <c r="BC123" s="124" t="str">
        <f t="shared" si="28"/>
        <v>MC</v>
      </c>
      <c r="BD123" s="119">
        <f t="shared" si="29"/>
        <v>7216</v>
      </c>
      <c r="BE123" s="119" t="str">
        <f t="shared" si="30"/>
        <v>ninguno</v>
      </c>
      <c r="BF123" s="119">
        <f t="shared" si="31"/>
        <v>7216</v>
      </c>
      <c r="BG123" s="467">
        <f t="shared" si="32"/>
        <v>0.31008551415925401</v>
      </c>
      <c r="BH123" s="468">
        <f t="shared" si="33"/>
        <v>243</v>
      </c>
      <c r="BI123" s="467">
        <f t="shared" si="33"/>
        <v>1.044218125564006E-2</v>
      </c>
    </row>
    <row r="124" spans="1:61">
      <c r="A124" s="434">
        <v>117</v>
      </c>
      <c r="B124" s="435" t="s">
        <v>133</v>
      </c>
      <c r="C124" s="436">
        <v>3328</v>
      </c>
      <c r="D124" s="434">
        <v>6</v>
      </c>
      <c r="E124" s="434">
        <v>6</v>
      </c>
      <c r="F124" s="437">
        <f t="shared" si="17"/>
        <v>1</v>
      </c>
      <c r="G124" s="455">
        <v>295</v>
      </c>
      <c r="H124" s="456">
        <v>942</v>
      </c>
      <c r="I124" s="456">
        <v>1467</v>
      </c>
      <c r="J124" s="456">
        <v>4</v>
      </c>
      <c r="K124" s="456">
        <v>1</v>
      </c>
      <c r="L124" s="457"/>
      <c r="M124" s="456">
        <v>3</v>
      </c>
      <c r="N124" s="456">
        <v>0</v>
      </c>
      <c r="O124" s="465"/>
      <c r="P124" s="465"/>
      <c r="Q124" s="465"/>
      <c r="R124" s="456">
        <v>7</v>
      </c>
      <c r="S124" s="456">
        <v>9</v>
      </c>
      <c r="T124" s="456">
        <v>1</v>
      </c>
      <c r="U124" s="456">
        <v>0</v>
      </c>
      <c r="V124" s="465"/>
      <c r="W124" s="457"/>
      <c r="X124" s="457"/>
      <c r="Y124" s="456">
        <v>2</v>
      </c>
      <c r="Z124" s="456">
        <v>52</v>
      </c>
      <c r="AA124" s="458">
        <f t="shared" si="18"/>
        <v>2783</v>
      </c>
      <c r="AB124" s="459">
        <f t="shared" si="19"/>
        <v>0.83623798076923073</v>
      </c>
      <c r="AC124" s="455">
        <f t="shared" si="20"/>
        <v>963</v>
      </c>
      <c r="AD124" s="460"/>
      <c r="AE124" s="461" t="str">
        <f t="shared" si="21"/>
        <v>PRD</v>
      </c>
      <c r="AF124" s="462" t="str">
        <f t="shared" si="22"/>
        <v>ninguno</v>
      </c>
      <c r="AG124" s="124" t="str">
        <f t="shared" si="23"/>
        <v>PRD</v>
      </c>
      <c r="AH124" s="119">
        <f t="shared" si="24"/>
        <v>1467</v>
      </c>
      <c r="AI124" s="463">
        <f t="shared" si="25"/>
        <v>0.52712899748472875</v>
      </c>
      <c r="AJ124" s="464">
        <f>RANK(G124,($G124,$I124,$J124,$L124,$N124,$O124,$P124,$Q124,$W124,$X124,$Y124,$Z124,$AC124))</f>
        <v>3</v>
      </c>
      <c r="AK124" s="465"/>
      <c r="AL124" s="466">
        <f>RANK(I124,($G124,$I124,$J124,$L124,$N124,$O124,$P124,$Q124,$W124,$X124,$Y124,$Z124,$AC124))</f>
        <v>1</v>
      </c>
      <c r="AM124" s="466">
        <f>RANK(J124,($G124,$I124,$J124,$L124,$N124,$O124,$P124,$Q124,$W124,$X124,$Y124,$Z124,$AC124))</f>
        <v>5</v>
      </c>
      <c r="AN124" s="457"/>
      <c r="AO124" s="457"/>
      <c r="AP124" s="457"/>
      <c r="AQ124" s="466">
        <f>RANK(N124,($G124,$I124,$J124,$L124,$N124,$O124,$P124,$Q124,$W124,$X124,$Y124,$Z124,$AC124))</f>
        <v>7</v>
      </c>
      <c r="AR124" s="457"/>
      <c r="AS124" s="457"/>
      <c r="AT124" s="457"/>
      <c r="AU124" s="457"/>
      <c r="AV124" s="457"/>
      <c r="AW124" s="466">
        <f>RANK(Y124,($G124,$I124,$J124,$L124,$N124,$O124,$P124,$Q124,$W124,$X124,$Y124,$Z124,$AC124))</f>
        <v>6</v>
      </c>
      <c r="AX124" s="466">
        <f>RANK(Z124,($G124,$I124,$J124,$L124,$N124,$O124,$P124,$Q124,$W124,$X124,$Y124,$Z124,$AC124))</f>
        <v>4</v>
      </c>
      <c r="AY124" s="466">
        <f>RANK(AC124,($G124,$I124,$J124,$L124,$N124,$O124,$P124,$Q124,$W124,$X124,$Y124,$Z124,$AC124))</f>
        <v>2</v>
      </c>
      <c r="AZ124" s="460"/>
      <c r="BA124" s="461" t="str">
        <f t="shared" si="26"/>
        <v>otro</v>
      </c>
      <c r="BB124" s="124" t="str">
        <f t="shared" si="27"/>
        <v>PRI-PVEM-NA</v>
      </c>
      <c r="BC124" s="124" t="str">
        <f t="shared" si="28"/>
        <v>PRI-PVEM-NA</v>
      </c>
      <c r="BD124" s="119" t="str">
        <f t="shared" si="29"/>
        <v>otro</v>
      </c>
      <c r="BE124" s="119">
        <f t="shared" si="30"/>
        <v>963</v>
      </c>
      <c r="BF124" s="119">
        <f t="shared" si="31"/>
        <v>963</v>
      </c>
      <c r="BG124" s="467">
        <f t="shared" si="32"/>
        <v>0.34602946460653972</v>
      </c>
      <c r="BH124" s="468">
        <f t="shared" si="33"/>
        <v>504</v>
      </c>
      <c r="BI124" s="467">
        <f t="shared" si="33"/>
        <v>0.18109953287818903</v>
      </c>
    </row>
    <row r="125" spans="1:61">
      <c r="A125" s="434">
        <v>118</v>
      </c>
      <c r="B125" s="435" t="s">
        <v>134</v>
      </c>
      <c r="C125" s="436">
        <v>10217</v>
      </c>
      <c r="D125" s="434">
        <v>25</v>
      </c>
      <c r="E125" s="434">
        <v>25</v>
      </c>
      <c r="F125" s="437">
        <f t="shared" si="17"/>
        <v>1</v>
      </c>
      <c r="G125" s="455">
        <v>479</v>
      </c>
      <c r="H125" s="456">
        <v>3086</v>
      </c>
      <c r="I125" s="456">
        <v>306</v>
      </c>
      <c r="J125" s="456">
        <v>209</v>
      </c>
      <c r="K125" s="456">
        <v>63</v>
      </c>
      <c r="L125" s="456">
        <v>2106</v>
      </c>
      <c r="M125" s="456">
        <v>62</v>
      </c>
      <c r="N125" s="456">
        <v>1011</v>
      </c>
      <c r="O125" s="456">
        <v>103</v>
      </c>
      <c r="P125" s="465"/>
      <c r="Q125" s="465"/>
      <c r="R125" s="456">
        <v>14</v>
      </c>
      <c r="S125" s="456">
        <v>20</v>
      </c>
      <c r="T125" s="456">
        <v>4</v>
      </c>
      <c r="U125" s="456">
        <v>0</v>
      </c>
      <c r="V125" s="465"/>
      <c r="W125" s="457"/>
      <c r="X125" s="457"/>
      <c r="Y125" s="456">
        <v>0</v>
      </c>
      <c r="Z125" s="456">
        <v>220</v>
      </c>
      <c r="AA125" s="458">
        <f t="shared" si="18"/>
        <v>7683</v>
      </c>
      <c r="AB125" s="459">
        <f t="shared" si="19"/>
        <v>0.75198199079964767</v>
      </c>
      <c r="AC125" s="455">
        <f t="shared" si="20"/>
        <v>3249</v>
      </c>
      <c r="AD125" s="460"/>
      <c r="AE125" s="461" t="str">
        <f t="shared" si="21"/>
        <v>otro</v>
      </c>
      <c r="AF125" s="462" t="str">
        <f t="shared" si="22"/>
        <v>PRI-PVEM-NA</v>
      </c>
      <c r="AG125" s="124" t="str">
        <f t="shared" si="23"/>
        <v>PRI-PVEM-NA</v>
      </c>
      <c r="AH125" s="119">
        <f t="shared" si="24"/>
        <v>3249</v>
      </c>
      <c r="AI125" s="463">
        <f t="shared" si="25"/>
        <v>0.42288168684107769</v>
      </c>
      <c r="AJ125" s="464">
        <f>RANK(G125,($G125,$I125,$J125,$L125,$N125,$O125,$P125,$Q125,$W125,$X125,$Y125,$Z125,$AC125))</f>
        <v>4</v>
      </c>
      <c r="AK125" s="465"/>
      <c r="AL125" s="466">
        <f>RANK(I125,($G125,$I125,$J125,$L125,$N125,$O125,$P125,$Q125,$W125,$X125,$Y125,$Z125,$AC125))</f>
        <v>5</v>
      </c>
      <c r="AM125" s="466">
        <f>RANK(J125,($G125,$I125,$J125,$L125,$N125,$O125,$P125,$Q125,$W125,$X125,$Y125,$Z125,$AC125))</f>
        <v>7</v>
      </c>
      <c r="AN125" s="457"/>
      <c r="AO125" s="466">
        <f>RANK(L125,($G125,$I125,$J125,$L125,$N125,$O125,$P125,$Q125,$W125,$X125,$Y125,$Z125,$AC125))</f>
        <v>2</v>
      </c>
      <c r="AP125" s="457"/>
      <c r="AQ125" s="466">
        <f>RANK(N125,($G125,$I125,$J125,$L125,$N125,$O125,$P125,$Q125,$W125,$X125,$Y125,$Z125,$AC125))</f>
        <v>3</v>
      </c>
      <c r="AR125" s="466">
        <f>RANK(O125,($G125,$I125,$J125,$L125,$N125,$O125,$P125,$Q125,$W125,$X125,$Y125,$Z125,$AC125))</f>
        <v>8</v>
      </c>
      <c r="AS125" s="457"/>
      <c r="AT125" s="457"/>
      <c r="AU125" s="457"/>
      <c r="AV125" s="457"/>
      <c r="AW125" s="466">
        <f>RANK(Y125,($G125,$I125,$J125,$L125,$N125,$O125,$P125,$Q125,$W125,$X125,$Y125,$Z125,$AC125))</f>
        <v>9</v>
      </c>
      <c r="AX125" s="466">
        <f>RANK(Z125,($G125,$I125,$J125,$L125,$N125,$O125,$P125,$Q125,$W125,$X125,$Y125,$Z125,$AC125))</f>
        <v>6</v>
      </c>
      <c r="AY125" s="466">
        <f>RANK(AC125,($G125,$I125,$J125,$L125,$N125,$O125,$P125,$Q125,$W125,$X125,$Y125,$Z125,$AC125))</f>
        <v>1</v>
      </c>
      <c r="AZ125" s="460"/>
      <c r="BA125" s="461" t="str">
        <f t="shared" si="26"/>
        <v>MC</v>
      </c>
      <c r="BB125" s="124" t="str">
        <f t="shared" si="27"/>
        <v>ninguno</v>
      </c>
      <c r="BC125" s="124" t="str">
        <f t="shared" si="28"/>
        <v>MC</v>
      </c>
      <c r="BD125" s="119">
        <f t="shared" si="29"/>
        <v>2106</v>
      </c>
      <c r="BE125" s="119" t="str">
        <f t="shared" si="30"/>
        <v>ninguno</v>
      </c>
      <c r="BF125" s="119">
        <f t="shared" si="31"/>
        <v>2106</v>
      </c>
      <c r="BG125" s="467">
        <f t="shared" si="32"/>
        <v>0.27411167512690354</v>
      </c>
      <c r="BH125" s="468">
        <f t="shared" si="33"/>
        <v>1143</v>
      </c>
      <c r="BI125" s="467">
        <f t="shared" si="33"/>
        <v>0.14877001171417414</v>
      </c>
    </row>
    <row r="126" spans="1:61">
      <c r="A126" s="434">
        <v>119</v>
      </c>
      <c r="B126" s="435" t="s">
        <v>558</v>
      </c>
      <c r="C126" s="436">
        <v>111733</v>
      </c>
      <c r="D126" s="434">
        <v>176</v>
      </c>
      <c r="E126" s="434">
        <v>176</v>
      </c>
      <c r="F126" s="437">
        <f t="shared" si="17"/>
        <v>1</v>
      </c>
      <c r="G126" s="455">
        <v>15878</v>
      </c>
      <c r="H126" s="456">
        <v>19573</v>
      </c>
      <c r="I126" s="456">
        <v>2635</v>
      </c>
      <c r="J126" s="456">
        <v>5255</v>
      </c>
      <c r="K126" s="456">
        <v>1034</v>
      </c>
      <c r="L126" s="456">
        <v>3517</v>
      </c>
      <c r="M126" s="456">
        <v>3278</v>
      </c>
      <c r="N126" s="456">
        <v>2461</v>
      </c>
      <c r="O126" s="456">
        <v>1154</v>
      </c>
      <c r="P126" s="456">
        <v>1930</v>
      </c>
      <c r="Q126" s="456">
        <v>1973</v>
      </c>
      <c r="R126" s="465"/>
      <c r="S126" s="465"/>
      <c r="T126" s="465"/>
      <c r="U126" s="465"/>
      <c r="V126" s="465"/>
      <c r="W126" s="457"/>
      <c r="X126" s="457"/>
      <c r="Y126" s="456">
        <v>37</v>
      </c>
      <c r="Z126" s="456">
        <v>2578</v>
      </c>
      <c r="AA126" s="458">
        <f t="shared" si="18"/>
        <v>61303</v>
      </c>
      <c r="AB126" s="459">
        <f t="shared" si="19"/>
        <v>0.54865617140862588</v>
      </c>
      <c r="AC126" s="470"/>
      <c r="AD126" s="460"/>
      <c r="AE126" s="461" t="str">
        <f t="shared" si="21"/>
        <v>PRI</v>
      </c>
      <c r="AF126" s="462" t="str">
        <f t="shared" si="22"/>
        <v>ninguno</v>
      </c>
      <c r="AG126" s="124" t="str">
        <f t="shared" si="23"/>
        <v>PRI</v>
      </c>
      <c r="AH126" s="119">
        <f t="shared" si="24"/>
        <v>19573</v>
      </c>
      <c r="AI126" s="463">
        <f t="shared" si="25"/>
        <v>0.319282906219924</v>
      </c>
      <c r="AJ126" s="464">
        <f>RANK(G126,($G126,$H126,$I126,$J126,$K126,$L126,$M126,$N126,$O126,$P126,$Q126,$W126,$X126,$Y126,$Z126))</f>
        <v>2</v>
      </c>
      <c r="AK126" s="466">
        <f>RANK(H126,($G126,$H126,$I126,$J126,$K126,$L126,$M126,$N126,$O126,$P126,$Q126,$W126,$X126,$Y126,$Z126))</f>
        <v>1</v>
      </c>
      <c r="AL126" s="466">
        <f>RANK(I126,($G126,$H126,$I126,$J126,$K126,$L126,$M126,$N126,$O126,$P126,$Q126,$W126,$X126,$Y126,$Z126))</f>
        <v>6</v>
      </c>
      <c r="AM126" s="466">
        <f>RANK(J126,($G126,$H126,$I126,$J126,$K126,$L126,$M126,$N126,$O126,$P126,$Q126,$W126,$X126,$Y126,$Z126))</f>
        <v>3</v>
      </c>
      <c r="AN126" s="466">
        <f>RANK(K126,($G126,$H126,$I126,$J126,$K126,$L126,$M126,$N126,$O126,$P126,$Q126,$W126,$X126,$Y126,$Z126))</f>
        <v>12</v>
      </c>
      <c r="AO126" s="466">
        <f>RANK(L126,($G126,$H126,$I126,$J126,$K126,$L126,$M126,$N126,$O126,$P126,$Q126,$W126,$X126,$Y126,$Z126))</f>
        <v>4</v>
      </c>
      <c r="AP126" s="466">
        <f>RANK(M126,($G126,$H126,$I126,$J126,$K126,$L126,$M126,$N126,$O126,$P126,$Q126,$W126,$X126,$Y126,$Z126))</f>
        <v>5</v>
      </c>
      <c r="AQ126" s="466">
        <f>RANK(N126,($G126,$H126,$I126,$J126,$K126,$L126,$M126,$N126,$O126,$P126,$Q126,$W126,$X126,$Y126,$Z126))</f>
        <v>8</v>
      </c>
      <c r="AR126" s="466">
        <f>RANK(O126,($G126,$H126,$I126,$J126,$K126,$L126,$M126,$N126,$O126,$P126,$Q126,$W126,$X126,$Y126,$Z126))</f>
        <v>11</v>
      </c>
      <c r="AS126" s="466">
        <f>RANK(P126,($G126,$H126,$I126,$J126,$K126,$L126,$M126,$N126,$O126,$P126,$Q126,$W126,$X126,$Y126,$Z126))</f>
        <v>10</v>
      </c>
      <c r="AT126" s="466">
        <f>RANK(Q126,($G126,$H126,$I126,$J126,$K126,$L126,$M126,$N126,$O126,$P126,$Q126,$W126,$X126,$Y126,$Z126))</f>
        <v>9</v>
      </c>
      <c r="AU126" s="457"/>
      <c r="AV126" s="457"/>
      <c r="AW126" s="466">
        <f>RANK(Y126,($G126,$H126,$I126,$J126,$K126,$L126,$M126,$N126,$O126,$P126,$Q126,$W126,$X126,$Y126,$Z126))</f>
        <v>13</v>
      </c>
      <c r="AX126" s="466">
        <f>RANK(Z126,($G126,$H126,$I126,$J126,$K126,$L126,$M126,$N126,$O126,$P126,$Q126,$W126,$X126,$Y126,$Z126))</f>
        <v>7</v>
      </c>
      <c r="AY126" s="465"/>
      <c r="AZ126" s="460"/>
      <c r="BA126" s="461" t="str">
        <f t="shared" si="26"/>
        <v>PAN</v>
      </c>
      <c r="BB126" s="124" t="str">
        <f t="shared" si="27"/>
        <v>ninguno</v>
      </c>
      <c r="BC126" s="124" t="str">
        <f t="shared" si="28"/>
        <v>PAN</v>
      </c>
      <c r="BD126" s="119">
        <f t="shared" si="29"/>
        <v>15878</v>
      </c>
      <c r="BE126" s="119" t="str">
        <f t="shared" si="30"/>
        <v>ninguno</v>
      </c>
      <c r="BF126" s="119">
        <f t="shared" si="31"/>
        <v>15878</v>
      </c>
      <c r="BG126" s="467">
        <f t="shared" si="32"/>
        <v>0.25900853139324342</v>
      </c>
      <c r="BH126" s="468">
        <f t="shared" si="33"/>
        <v>3695</v>
      </c>
      <c r="BI126" s="467">
        <f t="shared" si="33"/>
        <v>6.0274374826680577E-2</v>
      </c>
    </row>
    <row r="127" spans="1:61">
      <c r="A127" s="434">
        <v>120</v>
      </c>
      <c r="B127" s="435" t="s">
        <v>135</v>
      </c>
      <c r="C127" s="436">
        <v>11361</v>
      </c>
      <c r="D127" s="434">
        <v>22</v>
      </c>
      <c r="E127" s="434">
        <v>22</v>
      </c>
      <c r="F127" s="437">
        <f t="shared" si="17"/>
        <v>1</v>
      </c>
      <c r="G127" s="455">
        <v>2727</v>
      </c>
      <c r="H127" s="456">
        <v>4312</v>
      </c>
      <c r="I127" s="456">
        <v>792</v>
      </c>
      <c r="J127" s="456">
        <v>127</v>
      </c>
      <c r="K127" s="456">
        <v>25</v>
      </c>
      <c r="L127" s="457"/>
      <c r="M127" s="456">
        <v>121</v>
      </c>
      <c r="N127" s="456">
        <v>59</v>
      </c>
      <c r="O127" s="456">
        <v>88</v>
      </c>
      <c r="P127" s="456">
        <v>18</v>
      </c>
      <c r="Q127" s="465"/>
      <c r="R127" s="456">
        <v>9</v>
      </c>
      <c r="S127" s="456">
        <v>21</v>
      </c>
      <c r="T127" s="456">
        <v>13</v>
      </c>
      <c r="U127" s="456">
        <v>1</v>
      </c>
      <c r="V127" s="456">
        <v>34</v>
      </c>
      <c r="W127" s="457"/>
      <c r="X127" s="457"/>
      <c r="Y127" s="456">
        <v>0</v>
      </c>
      <c r="Z127" s="456">
        <v>260</v>
      </c>
      <c r="AA127" s="458">
        <f t="shared" si="18"/>
        <v>8607</v>
      </c>
      <c r="AB127" s="459">
        <f t="shared" si="19"/>
        <v>0.75759176128861894</v>
      </c>
      <c r="AC127" s="455">
        <f t="shared" si="20"/>
        <v>4502</v>
      </c>
      <c r="AD127" s="458">
        <f>G127+J127+V127</f>
        <v>2888</v>
      </c>
      <c r="AE127" s="461" t="str">
        <f t="shared" si="21"/>
        <v>otro</v>
      </c>
      <c r="AF127" s="462" t="str">
        <f t="shared" si="22"/>
        <v>PRI-PVEM-NA</v>
      </c>
      <c r="AG127" s="124" t="str">
        <f t="shared" si="23"/>
        <v>PRI-PVEM-NA</v>
      </c>
      <c r="AH127" s="119">
        <f t="shared" si="24"/>
        <v>4502</v>
      </c>
      <c r="AI127" s="463">
        <f t="shared" si="25"/>
        <v>0.52306262344603227</v>
      </c>
      <c r="AJ127" s="470"/>
      <c r="AK127" s="465"/>
      <c r="AL127" s="466">
        <f>RANK(I127,($I127,$L127,$N127,$O127,$P127,$Q127,$W127,$X127,$Y127,$Z127,$AC127,$AD127))</f>
        <v>3</v>
      </c>
      <c r="AM127" s="465"/>
      <c r="AN127" s="457"/>
      <c r="AO127" s="457"/>
      <c r="AP127" s="457"/>
      <c r="AQ127" s="466">
        <f>RANK(N127,($I127,$L127,$N127,$O127,$P127,$Q127,$W127,$X127,$Y127,$Z127,$AC127,$AD127))</f>
        <v>6</v>
      </c>
      <c r="AR127" s="466">
        <f>RANK(O127,($I127,$L127,$N127,$O127,$P127,$Q127,$W127,$X127,$Y127,$Z127,$AC127,$AD127))</f>
        <v>5</v>
      </c>
      <c r="AS127" s="466">
        <f>RANK(P127,($I127,$L127,$N127,$O127,$P127,$Q127,$W127,$X127,$Y127,$Z127,$AC127,$AD127))</f>
        <v>7</v>
      </c>
      <c r="AT127" s="457"/>
      <c r="AU127" s="457"/>
      <c r="AV127" s="457"/>
      <c r="AW127" s="466">
        <f>RANK(Y127,($I127,$L127,$N127,$O127,$P127,$Q127,$W127,$X127,$Y127,$Z127,$AC127,$AD127))</f>
        <v>8</v>
      </c>
      <c r="AX127" s="466">
        <f>RANK(Z127,($I127,$L127,$N127,$O127,$P127,$Q127,$W127,$X127,$Y127,$Z127,$AC127,$AD127))</f>
        <v>4</v>
      </c>
      <c r="AY127" s="466">
        <f>RANK(AC127,($I127,$L127,$N127,$O127,$P127,$Q127,$W127,$X127,$Y127,$Z127,$AC127,$AD127))</f>
        <v>1</v>
      </c>
      <c r="AZ127" s="471">
        <f>RANK(AD127,($I127,$L127,$N127,$O127,$P127,$Q127,$W127,$X127,$Y127,$Z127,$AC127,$AD127))</f>
        <v>2</v>
      </c>
      <c r="BA127" s="461" t="str">
        <f t="shared" si="26"/>
        <v>otro</v>
      </c>
      <c r="BB127" s="124" t="str">
        <f t="shared" si="27"/>
        <v>PAN-PT</v>
      </c>
      <c r="BC127" s="124" t="str">
        <f t="shared" si="28"/>
        <v>PAN-PT</v>
      </c>
      <c r="BD127" s="119" t="str">
        <f t="shared" si="29"/>
        <v>otro</v>
      </c>
      <c r="BE127" s="119">
        <f t="shared" si="30"/>
        <v>2888</v>
      </c>
      <c r="BF127" s="119">
        <f t="shared" si="31"/>
        <v>2888</v>
      </c>
      <c r="BG127" s="467">
        <f t="shared" si="32"/>
        <v>0.33554083885209712</v>
      </c>
      <c r="BH127" s="468">
        <f t="shared" si="33"/>
        <v>1614</v>
      </c>
      <c r="BI127" s="467">
        <f t="shared" si="33"/>
        <v>0.18752178459393515</v>
      </c>
    </row>
    <row r="128" spans="1:61">
      <c r="A128" s="434">
        <v>121</v>
      </c>
      <c r="B128" s="435" t="s">
        <v>136</v>
      </c>
      <c r="C128" s="436">
        <v>121398</v>
      </c>
      <c r="D128" s="434">
        <v>186</v>
      </c>
      <c r="E128" s="434">
        <v>186</v>
      </c>
      <c r="F128" s="437">
        <f t="shared" si="17"/>
        <v>1</v>
      </c>
      <c r="G128" s="455">
        <v>11059</v>
      </c>
      <c r="H128" s="456">
        <v>21597</v>
      </c>
      <c r="I128" s="456">
        <v>6194</v>
      </c>
      <c r="J128" s="456">
        <v>2204</v>
      </c>
      <c r="K128" s="456">
        <v>791</v>
      </c>
      <c r="L128" s="456">
        <v>2338</v>
      </c>
      <c r="M128" s="456">
        <v>4929</v>
      </c>
      <c r="N128" s="456">
        <v>4292</v>
      </c>
      <c r="O128" s="456">
        <v>1320</v>
      </c>
      <c r="P128" s="456">
        <v>2056</v>
      </c>
      <c r="Q128" s="456">
        <v>210</v>
      </c>
      <c r="R128" s="465"/>
      <c r="S128" s="465"/>
      <c r="T128" s="465"/>
      <c r="U128" s="465"/>
      <c r="V128" s="465"/>
      <c r="W128" s="457"/>
      <c r="X128" s="457"/>
      <c r="Y128" s="456">
        <v>32</v>
      </c>
      <c r="Z128" s="456">
        <v>1689</v>
      </c>
      <c r="AA128" s="458">
        <f t="shared" si="18"/>
        <v>58711</v>
      </c>
      <c r="AB128" s="459">
        <f t="shared" si="19"/>
        <v>0.48362411242359843</v>
      </c>
      <c r="AC128" s="470"/>
      <c r="AD128" s="460"/>
      <c r="AE128" s="461" t="str">
        <f t="shared" si="21"/>
        <v>PRI</v>
      </c>
      <c r="AF128" s="462" t="str">
        <f t="shared" si="22"/>
        <v>ninguno</v>
      </c>
      <c r="AG128" s="124" t="str">
        <f t="shared" si="23"/>
        <v>PRI</v>
      </c>
      <c r="AH128" s="119">
        <f t="shared" si="24"/>
        <v>21597</v>
      </c>
      <c r="AI128" s="463">
        <f t="shared" si="25"/>
        <v>0.36785270221934563</v>
      </c>
      <c r="AJ128" s="464">
        <f>RANK(G128,($G128,$H128,$I128,$J128,$K128,$L128,$M128,$N128,$O128,$P128,$Q128,$W128,$X128,$Y128,$Z128))</f>
        <v>2</v>
      </c>
      <c r="AK128" s="466">
        <f>RANK(H128,($G128,$H128,$I128,$J128,$K128,$L128,$M128,$N128,$O128,$P128,$Q128,$W128,$X128,$Y128,$Z128))</f>
        <v>1</v>
      </c>
      <c r="AL128" s="466">
        <f>RANK(I128,($G128,$H128,$I128,$J128,$K128,$L128,$M128,$N128,$O128,$P128,$Q128,$W128,$X128,$Y128,$Z128))</f>
        <v>3</v>
      </c>
      <c r="AM128" s="466">
        <f>RANK(J128,($G128,$H128,$I128,$J128,$K128,$L128,$M128,$N128,$O128,$P128,$Q128,$W128,$X128,$Y128,$Z128))</f>
        <v>7</v>
      </c>
      <c r="AN128" s="466">
        <f>RANK(K128,($G128,$H128,$I128,$J128,$K128,$L128,$M128,$N128,$O128,$P128,$Q128,$W128,$X128,$Y128,$Z128))</f>
        <v>11</v>
      </c>
      <c r="AO128" s="466">
        <f>RANK(L128,($G128,$H128,$I128,$J128,$K128,$L128,$M128,$N128,$O128,$P128,$Q128,$W128,$X128,$Y128,$Z128))</f>
        <v>6</v>
      </c>
      <c r="AP128" s="466">
        <f>RANK(M128,($G128,$H128,$I128,$J128,$K128,$L128,$M128,$N128,$O128,$P128,$Q128,$W128,$X128,$Y128,$Z128))</f>
        <v>4</v>
      </c>
      <c r="AQ128" s="466">
        <f>RANK(N128,($G128,$H128,$I128,$J128,$K128,$L128,$M128,$N128,$O128,$P128,$Q128,$W128,$X128,$Y128,$Z128))</f>
        <v>5</v>
      </c>
      <c r="AR128" s="466">
        <f>RANK(O128,($G128,$H128,$I128,$J128,$K128,$L128,$M128,$N128,$O128,$P128,$Q128,$W128,$X128,$Y128,$Z128))</f>
        <v>10</v>
      </c>
      <c r="AS128" s="466">
        <f>RANK(P128,($G128,$H128,$I128,$J128,$K128,$L128,$M128,$N128,$O128,$P128,$Q128,$W128,$X128,$Y128,$Z128))</f>
        <v>8</v>
      </c>
      <c r="AT128" s="466">
        <f>RANK(Q128,($G128,$H128,$I128,$J128,$K128,$L128,$M128,$N128,$O128,$P128,$Q128,$W128,$X128,$Y128,$Z128))</f>
        <v>12</v>
      </c>
      <c r="AU128" s="457"/>
      <c r="AV128" s="457"/>
      <c r="AW128" s="466">
        <f>RANK(Y128,($G128,$H128,$I128,$J128,$K128,$L128,$M128,$N128,$O128,$P128,$Q128,$W128,$X128,$Y128,$Z128))</f>
        <v>13</v>
      </c>
      <c r="AX128" s="466">
        <f>RANK(Z128,($G128,$H128,$I128,$J128,$K128,$L128,$M128,$N128,$O128,$P128,$Q128,$W128,$X128,$Y128,$Z128))</f>
        <v>9</v>
      </c>
      <c r="AY128" s="465"/>
      <c r="AZ128" s="460"/>
      <c r="BA128" s="461" t="str">
        <f t="shared" si="26"/>
        <v>PAN</v>
      </c>
      <c r="BB128" s="124" t="str">
        <f t="shared" si="27"/>
        <v>ninguno</v>
      </c>
      <c r="BC128" s="124" t="str">
        <f t="shared" si="28"/>
        <v>PAN</v>
      </c>
      <c r="BD128" s="119">
        <f t="shared" si="29"/>
        <v>11059</v>
      </c>
      <c r="BE128" s="119" t="str">
        <f t="shared" si="30"/>
        <v>ninguno</v>
      </c>
      <c r="BF128" s="119">
        <f t="shared" si="31"/>
        <v>11059</v>
      </c>
      <c r="BG128" s="467">
        <f t="shared" si="32"/>
        <v>0.18836333906763639</v>
      </c>
      <c r="BH128" s="468">
        <f t="shared" si="33"/>
        <v>10538</v>
      </c>
      <c r="BI128" s="467">
        <f t="shared" si="33"/>
        <v>0.17948936315170924</v>
      </c>
    </row>
    <row r="129" spans="1:61" ht="25.5">
      <c r="A129" s="434">
        <v>122</v>
      </c>
      <c r="B129" s="435" t="s">
        <v>137</v>
      </c>
      <c r="C129" s="436">
        <v>247881</v>
      </c>
      <c r="D129" s="434">
        <v>391</v>
      </c>
      <c r="E129" s="434">
        <v>391</v>
      </c>
      <c r="F129" s="437">
        <f t="shared" si="17"/>
        <v>1</v>
      </c>
      <c r="G129" s="455">
        <v>3302</v>
      </c>
      <c r="H129" s="456">
        <v>24469</v>
      </c>
      <c r="I129" s="456">
        <v>29185</v>
      </c>
      <c r="J129" s="456">
        <v>1080</v>
      </c>
      <c r="K129" s="456">
        <v>2176</v>
      </c>
      <c r="L129" s="456">
        <v>19155</v>
      </c>
      <c r="M129" s="456">
        <v>1877</v>
      </c>
      <c r="N129" s="456">
        <v>25277</v>
      </c>
      <c r="O129" s="456">
        <v>2324</v>
      </c>
      <c r="P129" s="456">
        <v>4186</v>
      </c>
      <c r="Q129" s="465"/>
      <c r="R129" s="456">
        <v>65</v>
      </c>
      <c r="S129" s="456">
        <v>378</v>
      </c>
      <c r="T129" s="456">
        <v>20</v>
      </c>
      <c r="U129" s="456">
        <v>17</v>
      </c>
      <c r="V129" s="456">
        <v>13</v>
      </c>
      <c r="W129" s="457"/>
      <c r="X129" s="457"/>
      <c r="Y129" s="456">
        <v>74</v>
      </c>
      <c r="Z129" s="456">
        <v>4538</v>
      </c>
      <c r="AA129" s="458">
        <f t="shared" si="18"/>
        <v>118136</v>
      </c>
      <c r="AB129" s="459">
        <f t="shared" si="19"/>
        <v>0.47658352193189474</v>
      </c>
      <c r="AC129" s="455">
        <f t="shared" si="20"/>
        <v>29002</v>
      </c>
      <c r="AD129" s="458">
        <f>G129+J129+V129</f>
        <v>4395</v>
      </c>
      <c r="AE129" s="461" t="str">
        <f t="shared" si="21"/>
        <v>PRD</v>
      </c>
      <c r="AF129" s="462" t="str">
        <f t="shared" si="22"/>
        <v>ninguno</v>
      </c>
      <c r="AG129" s="124" t="str">
        <f t="shared" si="23"/>
        <v>PRD</v>
      </c>
      <c r="AH129" s="119">
        <f t="shared" si="24"/>
        <v>29185</v>
      </c>
      <c r="AI129" s="463">
        <f t="shared" si="25"/>
        <v>0.24704577774768063</v>
      </c>
      <c r="AJ129" s="470"/>
      <c r="AK129" s="465"/>
      <c r="AL129" s="466">
        <f>RANK(I129,($I129,$L129,$N129,$O129,$P129,$Q129,$W129,$X129,$Y129,$Z129,$AC129,$AD129))</f>
        <v>1</v>
      </c>
      <c r="AM129" s="465"/>
      <c r="AN129" s="457"/>
      <c r="AO129" s="466">
        <f>RANK(L129,($I129,$L129,$N129,$O129,$P129,$Q129,$W129,$X129,$Y129,$Z129,$AC129,$AD129))</f>
        <v>4</v>
      </c>
      <c r="AP129" s="457"/>
      <c r="AQ129" s="466">
        <f>RANK(N129,($I129,$L129,$N129,$O129,$P129,$Q129,$W129,$X129,$Y129,$Z129,$AC129,$AD129))</f>
        <v>3</v>
      </c>
      <c r="AR129" s="466">
        <f>RANK(O129,($I129,$L129,$N129,$O129,$P129,$Q129,$W129,$X129,$Y129,$Z129,$AC129,$AD129))</f>
        <v>8</v>
      </c>
      <c r="AS129" s="466">
        <f>RANK(P129,($I129,$L129,$N129,$O129,$P129,$Q129,$W129,$X129,$Y129,$Z129,$AC129,$AD129))</f>
        <v>7</v>
      </c>
      <c r="AT129" s="457"/>
      <c r="AU129" s="457"/>
      <c r="AV129" s="457"/>
      <c r="AW129" s="466">
        <f>RANK(Y129,($I129,$L129,$N129,$O129,$P129,$Q129,$W129,$X129,$Y129,$Z129,$AC129,$AD129))</f>
        <v>9</v>
      </c>
      <c r="AX129" s="466">
        <f>RANK(Z129,($I129,$L129,$N129,$O129,$P129,$Q129,$W129,$X129,$Y129,$Z129,$AC129,$AD129))</f>
        <v>5</v>
      </c>
      <c r="AY129" s="466">
        <f>RANK(AC129,($I129,$L129,$N129,$O129,$P129,$Q129,$W129,$X129,$Y129,$Z129,$AC129,$AD129))</f>
        <v>2</v>
      </c>
      <c r="AZ129" s="471">
        <f>RANK(AD129,($I129,$L129,$N129,$O129,$P129,$Q129,$W129,$X129,$Y129,$Z129,$AC129,$AD129))</f>
        <v>6</v>
      </c>
      <c r="BA129" s="461" t="str">
        <f t="shared" si="26"/>
        <v>otro</v>
      </c>
      <c r="BB129" s="124" t="str">
        <f t="shared" si="27"/>
        <v>PRI-PVEM-NA</v>
      </c>
      <c r="BC129" s="124" t="str">
        <f t="shared" si="28"/>
        <v>PRI-PVEM-NA</v>
      </c>
      <c r="BD129" s="119" t="str">
        <f t="shared" si="29"/>
        <v>otro</v>
      </c>
      <c r="BE129" s="119">
        <f t="shared" si="30"/>
        <v>29002</v>
      </c>
      <c r="BF129" s="119">
        <f t="shared" si="31"/>
        <v>29002</v>
      </c>
      <c r="BG129" s="467">
        <f t="shared" si="32"/>
        <v>0.24549671564975961</v>
      </c>
      <c r="BH129" s="468">
        <f t="shared" si="33"/>
        <v>183</v>
      </c>
      <c r="BI129" s="467">
        <f t="shared" si="33"/>
        <v>1.5490620979210223E-3</v>
      </c>
    </row>
    <row r="130" spans="1:61">
      <c r="A130" s="434">
        <v>123</v>
      </c>
      <c r="B130" s="435" t="s">
        <v>138</v>
      </c>
      <c r="C130" s="436">
        <v>21466</v>
      </c>
      <c r="D130" s="434">
        <v>47</v>
      </c>
      <c r="E130" s="434">
        <v>47</v>
      </c>
      <c r="F130" s="437">
        <f t="shared" si="17"/>
        <v>1</v>
      </c>
      <c r="G130" s="455">
        <v>5155</v>
      </c>
      <c r="H130" s="456">
        <v>3917</v>
      </c>
      <c r="I130" s="456">
        <v>5635</v>
      </c>
      <c r="J130" s="456">
        <v>53</v>
      </c>
      <c r="K130" s="456">
        <v>38</v>
      </c>
      <c r="L130" s="456">
        <v>49</v>
      </c>
      <c r="M130" s="456">
        <v>36</v>
      </c>
      <c r="N130" s="456">
        <v>50</v>
      </c>
      <c r="O130" s="465"/>
      <c r="P130" s="456">
        <v>10</v>
      </c>
      <c r="Q130" s="465"/>
      <c r="R130" s="456">
        <v>4</v>
      </c>
      <c r="S130" s="456">
        <v>17</v>
      </c>
      <c r="T130" s="456">
        <v>1</v>
      </c>
      <c r="U130" s="456">
        <v>1</v>
      </c>
      <c r="V130" s="456">
        <v>8</v>
      </c>
      <c r="W130" s="457"/>
      <c r="X130" s="457"/>
      <c r="Y130" s="456">
        <v>0</v>
      </c>
      <c r="Z130" s="456">
        <v>451</v>
      </c>
      <c r="AA130" s="458">
        <f t="shared" si="18"/>
        <v>15425</v>
      </c>
      <c r="AB130" s="459">
        <f t="shared" si="19"/>
        <v>0.71857821671480482</v>
      </c>
      <c r="AC130" s="455">
        <f t="shared" si="20"/>
        <v>4014</v>
      </c>
      <c r="AD130" s="458">
        <f>G130+J130+V130</f>
        <v>5216</v>
      </c>
      <c r="AE130" s="461" t="str">
        <f t="shared" si="21"/>
        <v>PRD</v>
      </c>
      <c r="AF130" s="462" t="str">
        <f t="shared" si="22"/>
        <v>ninguno</v>
      </c>
      <c r="AG130" s="124" t="str">
        <f t="shared" si="23"/>
        <v>PRD</v>
      </c>
      <c r="AH130" s="119">
        <f t="shared" si="24"/>
        <v>5635</v>
      </c>
      <c r="AI130" s="463">
        <f t="shared" si="25"/>
        <v>0.3653160453808752</v>
      </c>
      <c r="AJ130" s="470"/>
      <c r="AK130" s="465"/>
      <c r="AL130" s="466">
        <f>RANK(I130,($I130,$L130,$N130,$O130,$P130,$Q130,$W130,$X130,$Y130,$Z130,$AC130,$AD130))</f>
        <v>1</v>
      </c>
      <c r="AM130" s="465"/>
      <c r="AN130" s="457"/>
      <c r="AO130" s="466">
        <f>RANK(L130,($I130,$L130,$N130,$O130,$P130,$Q130,$W130,$X130,$Y130,$Z130,$AC130,$AD130))</f>
        <v>6</v>
      </c>
      <c r="AP130" s="457"/>
      <c r="AQ130" s="466">
        <f>RANK(N130,($I130,$L130,$N130,$O130,$P130,$Q130,$W130,$X130,$Y130,$Z130,$AC130,$AD130))</f>
        <v>5</v>
      </c>
      <c r="AR130" s="457"/>
      <c r="AS130" s="466">
        <f>RANK(P130,($I130,$L130,$N130,$O130,$P130,$Q130,$W130,$X130,$Y130,$Z130,$AC130,$AD130))</f>
        <v>7</v>
      </c>
      <c r="AT130" s="457"/>
      <c r="AU130" s="457"/>
      <c r="AV130" s="457"/>
      <c r="AW130" s="466">
        <f>RANK(Y130,($I130,$L130,$N130,$O130,$P130,$Q130,$W130,$X130,$Y130,$Z130,$AC130,$AD130))</f>
        <v>8</v>
      </c>
      <c r="AX130" s="466">
        <f>RANK(Z130,($I130,$L130,$N130,$O130,$P130,$Q130,$W130,$X130,$Y130,$Z130,$AC130,$AD130))</f>
        <v>4</v>
      </c>
      <c r="AY130" s="466">
        <f>RANK(AC130,($I130,$L130,$N130,$O130,$P130,$Q130,$W130,$X130,$Y130,$Z130,$AC130,$AD130))</f>
        <v>3</v>
      </c>
      <c r="AZ130" s="471">
        <f>RANK(AD130,($I130,$L130,$N130,$O130,$P130,$Q130,$W130,$X130,$Y130,$Z130,$AC130,$AD130))</f>
        <v>2</v>
      </c>
      <c r="BA130" s="461" t="str">
        <f t="shared" si="26"/>
        <v>otro</v>
      </c>
      <c r="BB130" s="124" t="str">
        <f t="shared" si="27"/>
        <v>PAN-PT</v>
      </c>
      <c r="BC130" s="124" t="str">
        <f t="shared" si="28"/>
        <v>PAN-PT</v>
      </c>
      <c r="BD130" s="119" t="str">
        <f t="shared" si="29"/>
        <v>otro</v>
      </c>
      <c r="BE130" s="119">
        <f t="shared" si="30"/>
        <v>5216</v>
      </c>
      <c r="BF130" s="119">
        <f t="shared" si="31"/>
        <v>5216</v>
      </c>
      <c r="BG130" s="467">
        <f t="shared" si="32"/>
        <v>0.33815235008103728</v>
      </c>
      <c r="BH130" s="468">
        <f t="shared" si="33"/>
        <v>419</v>
      </c>
      <c r="BI130" s="467">
        <f t="shared" si="33"/>
        <v>2.716369529983792E-2</v>
      </c>
    </row>
    <row r="131" spans="1:61">
      <c r="A131" s="434">
        <v>124</v>
      </c>
      <c r="B131" s="435" t="s">
        <v>699</v>
      </c>
      <c r="C131" s="436">
        <v>59089</v>
      </c>
      <c r="D131" s="434">
        <v>105</v>
      </c>
      <c r="E131" s="434">
        <v>105</v>
      </c>
      <c r="F131" s="437">
        <f t="shared" si="17"/>
        <v>1</v>
      </c>
      <c r="G131" s="455">
        <v>12493</v>
      </c>
      <c r="H131" s="456">
        <v>12858</v>
      </c>
      <c r="I131" s="456">
        <v>1827</v>
      </c>
      <c r="J131" s="456">
        <v>459</v>
      </c>
      <c r="K131" s="456">
        <v>356</v>
      </c>
      <c r="L131" s="456">
        <v>434</v>
      </c>
      <c r="M131" s="456">
        <v>753</v>
      </c>
      <c r="N131" s="456">
        <v>436</v>
      </c>
      <c r="O131" s="465"/>
      <c r="P131" s="456">
        <v>253</v>
      </c>
      <c r="Q131" s="456">
        <v>330</v>
      </c>
      <c r="R131" s="465"/>
      <c r="S131" s="465"/>
      <c r="T131" s="465"/>
      <c r="U131" s="465"/>
      <c r="V131" s="465"/>
      <c r="W131" s="457"/>
      <c r="X131" s="457"/>
      <c r="Y131" s="456">
        <v>5</v>
      </c>
      <c r="Z131" s="456">
        <v>1784</v>
      </c>
      <c r="AA131" s="458">
        <f t="shared" si="18"/>
        <v>31988</v>
      </c>
      <c r="AB131" s="459">
        <f t="shared" si="19"/>
        <v>0.54135287447748315</v>
      </c>
      <c r="AC131" s="470"/>
      <c r="AD131" s="460"/>
      <c r="AE131" s="461" t="str">
        <f t="shared" si="21"/>
        <v>PRI</v>
      </c>
      <c r="AF131" s="462" t="str">
        <f t="shared" si="22"/>
        <v>ninguno</v>
      </c>
      <c r="AG131" s="124" t="str">
        <f t="shared" si="23"/>
        <v>PRI</v>
      </c>
      <c r="AH131" s="119">
        <f t="shared" si="24"/>
        <v>12858</v>
      </c>
      <c r="AI131" s="463">
        <f t="shared" si="25"/>
        <v>0.4019632362135801</v>
      </c>
      <c r="AJ131" s="464">
        <f>RANK(G131,($G131,$H131,$I131,$J131,$K131,$L131,$M131,$N131,$O131,$P131,$Q131,$W131,$X131,$Y131,$Z131))</f>
        <v>2</v>
      </c>
      <c r="AK131" s="466">
        <f>RANK(H131,($G131,$H131,$I131,$J131,$K131,$L131,$M131,$N131,$O131,$P131,$Q131,$W131,$X131,$Y131,$Z131))</f>
        <v>1</v>
      </c>
      <c r="AL131" s="466">
        <f>RANK(I131,($G131,$H131,$I131,$J131,$K131,$L131,$M131,$N131,$O131,$P131,$Q131,$W131,$X131,$Y131,$Z131))</f>
        <v>3</v>
      </c>
      <c r="AM131" s="466">
        <f>RANK(J131,($G131,$H131,$I131,$J131,$K131,$L131,$M131,$N131,$O131,$P131,$Q131,$W131,$X131,$Y131,$Z131))</f>
        <v>6</v>
      </c>
      <c r="AN131" s="466">
        <f>RANK(K131,($G131,$H131,$I131,$J131,$K131,$L131,$M131,$N131,$O131,$P131,$Q131,$W131,$X131,$Y131,$Z131))</f>
        <v>9</v>
      </c>
      <c r="AO131" s="466">
        <f>RANK(L131,($G131,$H131,$I131,$J131,$K131,$L131,$M131,$N131,$O131,$P131,$Q131,$W131,$X131,$Y131,$Z131))</f>
        <v>8</v>
      </c>
      <c r="AP131" s="466">
        <f>RANK(M131,($G131,$H131,$I131,$J131,$K131,$L131,$M131,$N131,$O131,$P131,$Q131,$W131,$X131,$Y131,$Z131))</f>
        <v>5</v>
      </c>
      <c r="AQ131" s="466">
        <f>RANK(N131,($G131,$H131,$I131,$J131,$K131,$L131,$M131,$N131,$O131,$P131,$Q131,$W131,$X131,$Y131,$Z131))</f>
        <v>7</v>
      </c>
      <c r="AR131" s="457"/>
      <c r="AS131" s="466">
        <f>RANK(P131,($G131,$H131,$I131,$J131,$K131,$L131,$M131,$N131,$O131,$P131,$Q131,$W131,$X131,$Y131,$Z131))</f>
        <v>11</v>
      </c>
      <c r="AT131" s="466">
        <f>RANK(Q131,($G131,$H131,$I131,$J131,$K131,$L131,$M131,$N131,$O131,$P131,$Q131,$W131,$X131,$Y131,$Z131))</f>
        <v>10</v>
      </c>
      <c r="AU131" s="457"/>
      <c r="AV131" s="457"/>
      <c r="AW131" s="466">
        <f>RANK(Y131,($G131,$H131,$I131,$J131,$K131,$L131,$M131,$N131,$O131,$P131,$Q131,$W131,$X131,$Y131,$Z131))</f>
        <v>12</v>
      </c>
      <c r="AX131" s="466">
        <f>RANK(Z131,($G131,$H131,$I131,$J131,$K131,$L131,$M131,$N131,$O131,$P131,$Q131,$W131,$X131,$Y131,$Z131))</f>
        <v>4</v>
      </c>
      <c r="AY131" s="465"/>
      <c r="AZ131" s="460"/>
      <c r="BA131" s="461" t="str">
        <f t="shared" si="26"/>
        <v>PAN</v>
      </c>
      <c r="BB131" s="124" t="str">
        <f t="shared" si="27"/>
        <v>ninguno</v>
      </c>
      <c r="BC131" s="124" t="str">
        <f t="shared" si="28"/>
        <v>PAN</v>
      </c>
      <c r="BD131" s="119">
        <f t="shared" si="29"/>
        <v>12493</v>
      </c>
      <c r="BE131" s="119" t="str">
        <f t="shared" si="30"/>
        <v>ninguno</v>
      </c>
      <c r="BF131" s="119">
        <f t="shared" si="31"/>
        <v>12493</v>
      </c>
      <c r="BG131" s="467">
        <f t="shared" si="32"/>
        <v>0.39055270726522445</v>
      </c>
      <c r="BH131" s="468">
        <f t="shared" si="33"/>
        <v>365</v>
      </c>
      <c r="BI131" s="467">
        <f t="shared" si="33"/>
        <v>1.1410528948355647E-2</v>
      </c>
    </row>
    <row r="132" spans="1:61" ht="13.5" thickBot="1">
      <c r="A132" s="476">
        <v>125</v>
      </c>
      <c r="B132" s="477" t="s">
        <v>140</v>
      </c>
      <c r="C132" s="478">
        <v>7194</v>
      </c>
      <c r="D132" s="476">
        <v>11</v>
      </c>
      <c r="E132" s="476">
        <v>11</v>
      </c>
      <c r="F132" s="437">
        <f t="shared" si="17"/>
        <v>1</v>
      </c>
      <c r="G132" s="479">
        <v>748</v>
      </c>
      <c r="H132" s="480">
        <v>946</v>
      </c>
      <c r="I132" s="480">
        <v>155</v>
      </c>
      <c r="J132" s="480">
        <v>1090</v>
      </c>
      <c r="K132" s="480">
        <v>24</v>
      </c>
      <c r="L132" s="480">
        <v>315</v>
      </c>
      <c r="M132" s="480">
        <v>15</v>
      </c>
      <c r="N132" s="480">
        <v>412</v>
      </c>
      <c r="O132" s="480">
        <v>23</v>
      </c>
      <c r="P132" s="480">
        <v>797</v>
      </c>
      <c r="Q132" s="481"/>
      <c r="R132" s="480">
        <v>10</v>
      </c>
      <c r="S132" s="480">
        <v>3</v>
      </c>
      <c r="T132" s="480">
        <v>1</v>
      </c>
      <c r="U132" s="480">
        <v>0</v>
      </c>
      <c r="V132" s="481"/>
      <c r="W132" s="482"/>
      <c r="X132" s="482"/>
      <c r="Y132" s="480">
        <v>1</v>
      </c>
      <c r="Z132" s="480">
        <v>88</v>
      </c>
      <c r="AA132" s="483">
        <f t="shared" si="18"/>
        <v>4628</v>
      </c>
      <c r="AB132" s="484">
        <f t="shared" si="19"/>
        <v>0.64331387267167084</v>
      </c>
      <c r="AC132" s="479">
        <f t="shared" si="20"/>
        <v>999</v>
      </c>
      <c r="AD132" s="485"/>
      <c r="AE132" s="486" t="str">
        <f t="shared" si="21"/>
        <v>PT</v>
      </c>
      <c r="AF132" s="487" t="str">
        <f t="shared" si="22"/>
        <v>ninguno</v>
      </c>
      <c r="AG132" s="488" t="str">
        <f t="shared" si="23"/>
        <v>PT</v>
      </c>
      <c r="AH132" s="489">
        <f t="shared" si="24"/>
        <v>1090</v>
      </c>
      <c r="AI132" s="490">
        <f t="shared" si="25"/>
        <v>0.23552290406222989</v>
      </c>
      <c r="AJ132" s="491">
        <f>RANK(G132,($G132,$I132,$J132,$L132,$N132,$O132,$P132,$Q132,$W132,$X132,$Y132,$Z132,$AC132))</f>
        <v>4</v>
      </c>
      <c r="AK132" s="481"/>
      <c r="AL132" s="492">
        <f>RANK(I132,($G132,$I132,$J132,$L132,$N132,$O132,$P132,$Q132,$W132,$X132,$Y132,$Z132,$AC132))</f>
        <v>7</v>
      </c>
      <c r="AM132" s="492">
        <f>RANK(J132,($G132,$I132,$J132,$L132,$N132,$O132,$P132,$Q132,$W132,$X132,$Y132,$Z132,$AC132))</f>
        <v>1</v>
      </c>
      <c r="AN132" s="482"/>
      <c r="AO132" s="492">
        <f>RANK(L132,($G132,$I132,$J132,$L132,$N132,$O132,$P132,$Q132,$W132,$X132,$Y132,$Z132,$AC132))</f>
        <v>6</v>
      </c>
      <c r="AP132" s="482"/>
      <c r="AQ132" s="492">
        <f>RANK(N132,($G132,$I132,$J132,$L132,$N132,$O132,$P132,$Q132,$W132,$X132,$Y132,$Z132,$AC132))</f>
        <v>5</v>
      </c>
      <c r="AR132" s="492">
        <f>RANK(O132,($G132,$I132,$J132,$L132,$N132,$O132,$P132,$Q132,$W132,$X132,$Y132,$Z132,$AC132))</f>
        <v>9</v>
      </c>
      <c r="AS132" s="492">
        <f>RANK(P132,($G132,$I132,$J132,$L132,$N132,$O132,$P132,$Q132,$W132,$X132,$Y132,$Z132,$AC132))</f>
        <v>3</v>
      </c>
      <c r="AT132" s="482"/>
      <c r="AU132" s="482"/>
      <c r="AV132" s="482"/>
      <c r="AW132" s="492">
        <f>RANK(Y132,($G132,$I132,$J132,$L132,$N132,$O132,$P132,$Q132,$W132,$X132,$Y132,$Z132,$AC132))</f>
        <v>10</v>
      </c>
      <c r="AX132" s="492">
        <f>RANK(Z132,($G132,$I132,$J132,$L132,$N132,$O132,$P132,$Q132,$W132,$X132,$Y132,$Z132,$AC132))</f>
        <v>8</v>
      </c>
      <c r="AY132" s="492">
        <f>RANK(AC132,($G132,$I132,$J132,$L132,$N132,$O132,$P132,$Q132,$W132,$X132,$Y132,$Z132,$AC132))</f>
        <v>2</v>
      </c>
      <c r="AZ132" s="485"/>
      <c r="BA132" s="486" t="str">
        <f t="shared" si="26"/>
        <v>otro</v>
      </c>
      <c r="BB132" s="488" t="str">
        <f t="shared" si="27"/>
        <v>PRI-PVEM-NA</v>
      </c>
      <c r="BC132" s="488" t="str">
        <f t="shared" si="28"/>
        <v>PRI-PVEM-NA</v>
      </c>
      <c r="BD132" s="489" t="str">
        <f t="shared" si="29"/>
        <v>otro</v>
      </c>
      <c r="BE132" s="489">
        <f t="shared" si="30"/>
        <v>999</v>
      </c>
      <c r="BF132" s="489">
        <f t="shared" si="31"/>
        <v>999</v>
      </c>
      <c r="BG132" s="493">
        <f t="shared" si="32"/>
        <v>0.21585998271391529</v>
      </c>
      <c r="BH132" s="494">
        <f t="shared" si="33"/>
        <v>91</v>
      </c>
      <c r="BI132" s="493">
        <f t="shared" si="33"/>
        <v>1.9662921348314599E-2</v>
      </c>
    </row>
    <row r="133" spans="1:61" s="495" customFormat="1" ht="13.5" thickTop="1">
      <c r="B133" s="496" t="s">
        <v>24</v>
      </c>
      <c r="C133" s="497">
        <f>SUM(C8:C132)</f>
        <v>11023636</v>
      </c>
      <c r="D133" s="498">
        <f>SUM(D8:D132)</f>
        <v>18181</v>
      </c>
      <c r="E133" s="499">
        <f>SUM(E8:E132)</f>
        <v>18178</v>
      </c>
      <c r="F133" s="500">
        <f t="shared" si="17"/>
        <v>0.9998349925746659</v>
      </c>
      <c r="G133" s="501">
        <f>SUM(G8:G132)</f>
        <v>992443</v>
      </c>
      <c r="H133" s="501">
        <f>SUM(H8:H132)</f>
        <v>1795307</v>
      </c>
      <c r="I133" s="501">
        <f>SUM(I8:I132)</f>
        <v>877787</v>
      </c>
      <c r="J133" s="501">
        <f t="shared" ref="J133:AA133" si="34">SUM(J8:J132)</f>
        <v>192491</v>
      </c>
      <c r="K133" s="501">
        <f t="shared" si="34"/>
        <v>121206</v>
      </c>
      <c r="L133" s="501">
        <f t="shared" si="34"/>
        <v>258667</v>
      </c>
      <c r="M133" s="501">
        <f t="shared" si="34"/>
        <v>152112</v>
      </c>
      <c r="N133" s="501">
        <f t="shared" si="34"/>
        <v>504349</v>
      </c>
      <c r="O133" s="501">
        <f t="shared" si="34"/>
        <v>124792</v>
      </c>
      <c r="P133" s="501">
        <f t="shared" si="34"/>
        <v>227149</v>
      </c>
      <c r="Q133" s="501">
        <f t="shared" si="34"/>
        <v>34271</v>
      </c>
      <c r="R133" s="501">
        <f t="shared" si="34"/>
        <v>11161</v>
      </c>
      <c r="S133" s="501">
        <f t="shared" si="34"/>
        <v>19387</v>
      </c>
      <c r="T133" s="501">
        <f t="shared" si="34"/>
        <v>2090</v>
      </c>
      <c r="U133" s="501">
        <f t="shared" si="34"/>
        <v>873</v>
      </c>
      <c r="V133" s="501">
        <f t="shared" si="34"/>
        <v>3686</v>
      </c>
      <c r="W133" s="501">
        <f t="shared" si="34"/>
        <v>10975</v>
      </c>
      <c r="X133" s="501">
        <f t="shared" si="34"/>
        <v>863</v>
      </c>
      <c r="Y133" s="501">
        <f t="shared" si="34"/>
        <v>7210</v>
      </c>
      <c r="Z133" s="501">
        <f t="shared" si="34"/>
        <v>217253</v>
      </c>
      <c r="AA133" s="502">
        <f t="shared" si="34"/>
        <v>5554072</v>
      </c>
      <c r="AB133" s="503"/>
      <c r="AC133" s="504"/>
      <c r="AD133" s="504"/>
      <c r="AE133" s="90"/>
      <c r="AF133" s="90"/>
      <c r="AG133" s="90"/>
      <c r="AH133" s="162"/>
      <c r="AI133" s="164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165"/>
      <c r="BB133" s="165"/>
      <c r="BC133" s="165"/>
      <c r="BD133" s="162"/>
      <c r="BE133" s="162"/>
      <c r="BF133" s="162"/>
      <c r="BG133" s="162"/>
      <c r="BH133" s="162"/>
      <c r="BI133" s="90"/>
    </row>
    <row r="134" spans="1:61">
      <c r="F134" s="505"/>
      <c r="AA134" s="504"/>
      <c r="AB134" s="504"/>
      <c r="AC134" s="504"/>
      <c r="AD134" s="504"/>
      <c r="AE134" s="90"/>
      <c r="AF134" s="90"/>
      <c r="AG134" s="90"/>
      <c r="AH134" s="506"/>
      <c r="AI134" s="506"/>
      <c r="AJ134" s="506"/>
      <c r="AK134" s="506"/>
      <c r="AL134" s="506"/>
      <c r="AM134" s="506"/>
      <c r="AN134" s="506"/>
      <c r="AO134" s="506"/>
      <c r="AP134" s="506"/>
      <c r="AQ134" s="506"/>
      <c r="AR134" s="506"/>
      <c r="AS134" s="506"/>
      <c r="AT134" s="506"/>
      <c r="AU134" s="506"/>
      <c r="AV134" s="506"/>
      <c r="AW134" s="506"/>
      <c r="AX134" s="506"/>
      <c r="AY134" s="506"/>
      <c r="AZ134" s="507"/>
      <c r="BA134" s="508"/>
      <c r="BB134" s="506"/>
      <c r="BC134" s="506"/>
    </row>
    <row r="135" spans="1:61">
      <c r="A135" t="s">
        <v>468</v>
      </c>
      <c r="F135" s="505"/>
      <c r="AA135" s="504"/>
      <c r="AB135" s="504"/>
      <c r="AC135" s="504"/>
      <c r="AD135" s="504"/>
      <c r="AE135" s="506"/>
      <c r="AF135" s="506"/>
      <c r="AG135" s="509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510"/>
      <c r="BB135" s="510"/>
      <c r="BC135" s="510"/>
      <c r="BD135" s="90"/>
      <c r="BE135" s="90"/>
      <c r="BF135" s="90"/>
      <c r="BG135" s="90"/>
      <c r="BH135" s="90"/>
      <c r="BI135" s="90"/>
    </row>
    <row r="136" spans="1:61">
      <c r="B136" t="s">
        <v>700</v>
      </c>
      <c r="F136" s="505"/>
      <c r="AA136" s="504"/>
      <c r="AB136" s="504"/>
      <c r="AC136" s="504"/>
      <c r="AD136" s="504"/>
      <c r="AE136" s="511"/>
      <c r="AF136" s="511"/>
      <c r="AG136" s="510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510"/>
      <c r="BB136" s="510"/>
      <c r="BC136" s="510"/>
      <c r="BD136" s="90"/>
      <c r="BE136" s="90"/>
      <c r="BF136" s="90"/>
      <c r="BG136" s="90"/>
      <c r="BH136" s="90"/>
      <c r="BI136" s="90"/>
    </row>
    <row r="137" spans="1:61">
      <c r="B137" t="s">
        <v>701</v>
      </c>
      <c r="F137" s="505"/>
      <c r="AA137" s="504"/>
      <c r="AB137" s="504"/>
      <c r="AC137" s="504"/>
      <c r="AD137" s="504"/>
      <c r="AE137" s="511"/>
      <c r="AF137" s="511"/>
      <c r="AG137" s="510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510"/>
      <c r="BB137" s="510"/>
      <c r="BC137" s="510"/>
      <c r="BD137" s="90"/>
      <c r="BE137" s="90"/>
      <c r="BF137" s="90"/>
      <c r="BG137" s="90"/>
      <c r="BH137" s="90"/>
      <c r="BI137" s="90"/>
    </row>
    <row r="138" spans="1:61">
      <c r="F138" s="505"/>
      <c r="AA138" s="504"/>
      <c r="AB138" s="504"/>
      <c r="AC138" s="504"/>
      <c r="AD138" s="504"/>
      <c r="AE138" s="511"/>
      <c r="AF138" s="511"/>
      <c r="AG138" s="510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510"/>
      <c r="BB138" s="510"/>
      <c r="BC138" s="510"/>
      <c r="BD138" s="90"/>
      <c r="BE138" s="90"/>
      <c r="BF138" s="90"/>
      <c r="BG138" s="90"/>
      <c r="BH138" s="90"/>
      <c r="BI138" s="90"/>
    </row>
    <row r="139" spans="1:61">
      <c r="F139" s="505"/>
      <c r="AA139" s="504"/>
      <c r="AB139" s="504"/>
      <c r="AC139" s="504"/>
      <c r="AD139" s="504"/>
      <c r="AE139" s="511"/>
      <c r="AF139" s="511"/>
      <c r="AG139" s="510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510"/>
      <c r="BB139" s="510"/>
      <c r="BC139" s="510"/>
      <c r="BD139" s="90"/>
      <c r="BE139" s="90"/>
      <c r="BF139" s="90"/>
      <c r="BG139" s="90"/>
      <c r="BH139" s="90"/>
      <c r="BI139" s="90"/>
    </row>
    <row r="140" spans="1:61">
      <c r="F140" s="505"/>
      <c r="AA140" s="504"/>
      <c r="AB140" s="504"/>
      <c r="AC140" s="504"/>
      <c r="AD140" s="504"/>
      <c r="AE140" s="511"/>
      <c r="AF140" s="511"/>
      <c r="AG140" s="510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510"/>
      <c r="BB140" s="510"/>
      <c r="BC140" s="510"/>
      <c r="BD140" s="90"/>
      <c r="BE140" s="90"/>
      <c r="BF140" s="90"/>
      <c r="BG140" s="90"/>
      <c r="BH140" s="90"/>
      <c r="BI140" s="90"/>
    </row>
    <row r="141" spans="1:61">
      <c r="F141" s="505"/>
      <c r="AA141" s="504"/>
      <c r="AB141" s="504"/>
      <c r="AC141" s="504"/>
      <c r="AD141" s="504"/>
      <c r="AE141" s="511"/>
      <c r="AF141" s="511"/>
      <c r="AG141" s="510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510"/>
      <c r="BB141" s="510"/>
      <c r="BC141" s="510"/>
      <c r="BD141" s="90"/>
      <c r="BE141" s="90"/>
      <c r="BF141" s="90"/>
      <c r="BG141" s="90"/>
      <c r="BH141" s="90"/>
      <c r="BI141" s="90"/>
    </row>
    <row r="142" spans="1:61">
      <c r="F142" s="505"/>
      <c r="AA142" s="504"/>
      <c r="AB142" s="504"/>
      <c r="AC142" s="504"/>
      <c r="AD142" s="504"/>
      <c r="AE142" s="511"/>
      <c r="AF142" s="511"/>
      <c r="AG142" s="510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510"/>
      <c r="BB142" s="510"/>
      <c r="BC142" s="510"/>
      <c r="BD142" s="90"/>
      <c r="BE142" s="90"/>
      <c r="BF142" s="90"/>
      <c r="BG142" s="90"/>
      <c r="BH142" s="90"/>
      <c r="BI142" s="90"/>
    </row>
    <row r="143" spans="1:61">
      <c r="F143" s="505"/>
      <c r="AA143" s="504"/>
      <c r="AB143" s="504"/>
      <c r="AC143" s="504"/>
      <c r="AD143" s="504"/>
      <c r="AE143" s="511"/>
      <c r="AF143" s="511"/>
      <c r="AG143" s="510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510"/>
      <c r="BB143" s="510"/>
      <c r="BC143" s="510"/>
      <c r="BD143" s="90"/>
      <c r="BE143" s="90"/>
      <c r="BF143" s="90"/>
      <c r="BG143" s="90"/>
      <c r="BH143" s="90"/>
      <c r="BI143" s="90"/>
    </row>
    <row r="144" spans="1:61">
      <c r="F144" s="505"/>
      <c r="AA144" s="504"/>
      <c r="AB144" s="504"/>
      <c r="AC144" s="504"/>
      <c r="AD144" s="504"/>
      <c r="AE144" s="511"/>
      <c r="AF144" s="511"/>
      <c r="AG144" s="510"/>
      <c r="AH144" s="509"/>
      <c r="AI144" s="509"/>
      <c r="AJ144" s="509"/>
      <c r="AK144" s="509"/>
      <c r="AL144" s="509"/>
      <c r="AM144" s="509"/>
      <c r="AN144" s="509"/>
      <c r="AO144" s="509"/>
      <c r="AP144" s="509"/>
      <c r="AQ144" s="509"/>
      <c r="AR144" s="509"/>
      <c r="AS144" s="509"/>
      <c r="AT144" s="509"/>
      <c r="AU144" s="509"/>
      <c r="AV144" s="509"/>
      <c r="AW144" s="509"/>
      <c r="AX144" s="509"/>
      <c r="AY144" s="509"/>
      <c r="AZ144" s="509"/>
      <c r="BA144" s="509"/>
      <c r="BB144" s="509"/>
      <c r="BC144" s="509"/>
      <c r="BD144" s="506"/>
      <c r="BE144" s="506"/>
      <c r="BF144" s="506"/>
      <c r="BG144" s="506"/>
      <c r="BH144" s="506"/>
      <c r="BI144" s="506"/>
    </row>
    <row r="145" spans="27:55">
      <c r="AA145" s="90"/>
      <c r="AB145" s="90"/>
      <c r="AC145" s="90"/>
      <c r="AD145" s="90"/>
      <c r="AE145" s="509"/>
      <c r="AF145" s="509"/>
      <c r="AG145" s="509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</row>
  </sheetData>
  <mergeCells count="5">
    <mergeCell ref="AC6:AD6"/>
    <mergeCell ref="AE6:AI6"/>
    <mergeCell ref="AJ6:AZ6"/>
    <mergeCell ref="BA6:BG6"/>
    <mergeCell ref="BH6:BI6"/>
  </mergeCells>
  <conditionalFormatting sqref="AE9:AG11 AF12:AG132">
    <cfRule type="cellIs" dxfId="36" priority="34" stopIfTrue="1" operator="equal">
      <formula>$D$9</formula>
    </cfRule>
  </conditionalFormatting>
  <conditionalFormatting sqref="AE12:AG132">
    <cfRule type="cellIs" dxfId="35" priority="31" stopIfTrue="1" operator="equal">
      <formula>$G$9</formula>
    </cfRule>
    <cfRule type="cellIs" dxfId="34" priority="32" stopIfTrue="1" operator="equal">
      <formula>$I$9</formula>
    </cfRule>
    <cfRule type="cellIs" dxfId="33" priority="33" stopIfTrue="1" operator="equal">
      <formula>$M$9</formula>
    </cfRule>
  </conditionalFormatting>
  <conditionalFormatting sqref="AE12:AG132">
    <cfRule type="cellIs" dxfId="32" priority="30" stopIfTrue="1" operator="equal">
      <formula>$D$9</formula>
    </cfRule>
  </conditionalFormatting>
  <conditionalFormatting sqref="BA8:BC132">
    <cfRule type="cellIs" dxfId="31" priority="27" stopIfTrue="1" operator="equal">
      <formula>$G$9</formula>
    </cfRule>
    <cfRule type="cellIs" dxfId="30" priority="28" stopIfTrue="1" operator="equal">
      <formula>$I$9</formula>
    </cfRule>
    <cfRule type="cellIs" dxfId="29" priority="29" stopIfTrue="1" operator="equal">
      <formula>$M$9</formula>
    </cfRule>
  </conditionalFormatting>
  <conditionalFormatting sqref="BA8:BC132">
    <cfRule type="cellIs" dxfId="28" priority="26" stopIfTrue="1" operator="equal">
      <formula>$D$9</formula>
    </cfRule>
  </conditionalFormatting>
  <conditionalFormatting sqref="BA8:BC132 AE8:AG132">
    <cfRule type="cellIs" dxfId="27" priority="25" stopIfTrue="1" operator="equal">
      <formula>$I$7</formula>
    </cfRule>
    <cfRule type="cellIs" dxfId="26" priority="35" stopIfTrue="1" operator="equal">
      <formula>$G$7</formula>
    </cfRule>
    <cfRule type="cellIs" dxfId="25" priority="36" stopIfTrue="1" operator="equal">
      <formula>$H$7</formula>
    </cfRule>
    <cfRule type="cellIs" dxfId="24" priority="37" stopIfTrue="1" operator="equal">
      <formula>$L$7</formula>
    </cfRule>
  </conditionalFormatting>
  <conditionalFormatting sqref="BI9:BI132">
    <cfRule type="expression" dxfId="23" priority="23">
      <formula>"$e8=1"</formula>
    </cfRule>
    <cfRule type="cellIs" dxfId="22" priority="24" operator="lessThan">
      <formula>0.01</formula>
    </cfRule>
  </conditionalFormatting>
  <conditionalFormatting sqref="BI8:BI132">
    <cfRule type="cellIs" dxfId="21" priority="22" operator="lessThanOrEqual">
      <formula>0.03</formula>
    </cfRule>
  </conditionalFormatting>
  <conditionalFormatting sqref="AE8:AG132 BC8:BC132">
    <cfRule type="cellIs" dxfId="20" priority="21" operator="equal">
      <formula>$AC$7</formula>
    </cfRule>
  </conditionalFormatting>
  <conditionalFormatting sqref="AE8:AG132 BA8:BC132">
    <cfRule type="cellIs" dxfId="19" priority="14" operator="equal">
      <formula>$P$7</formula>
    </cfRule>
    <cfRule type="cellIs" dxfId="18" priority="15" operator="equal">
      <formula>$O$7</formula>
    </cfRule>
    <cfRule type="cellIs" dxfId="17" priority="16" operator="equal">
      <formula>$M$7</formula>
    </cfRule>
    <cfRule type="cellIs" dxfId="16" priority="17" operator="equal">
      <formula>$N$7</formula>
    </cfRule>
    <cfRule type="cellIs" dxfId="15" priority="18" operator="equal">
      <formula>$K$7</formula>
    </cfRule>
    <cfRule type="cellIs" dxfId="14" priority="19" operator="equal">
      <formula>$J$7</formula>
    </cfRule>
    <cfRule type="cellIs" dxfId="13" priority="20" operator="equal">
      <formula>$AD$7</formula>
    </cfRule>
  </conditionalFormatting>
  <conditionalFormatting sqref="G8:G132">
    <cfRule type="cellIs" dxfId="12" priority="13" operator="equal">
      <formula>$AH8</formula>
    </cfRule>
  </conditionalFormatting>
  <conditionalFormatting sqref="H8:H132">
    <cfRule type="cellIs" dxfId="11" priority="12" operator="equal">
      <formula>$AH8</formula>
    </cfRule>
  </conditionalFormatting>
  <conditionalFormatting sqref="I8:I132">
    <cfRule type="cellIs" dxfId="10" priority="11" operator="equal">
      <formula>$AH8</formula>
    </cfRule>
  </conditionalFormatting>
  <conditionalFormatting sqref="J8:J132">
    <cfRule type="cellIs" dxfId="9" priority="10" operator="equal">
      <formula>$AH8</formula>
    </cfRule>
  </conditionalFormatting>
  <conditionalFormatting sqref="K8:K132">
    <cfRule type="cellIs" dxfId="8" priority="9" operator="equal">
      <formula>$AH8</formula>
    </cfRule>
  </conditionalFormatting>
  <conditionalFormatting sqref="L8:L132">
    <cfRule type="cellIs" dxfId="7" priority="8" operator="equal">
      <formula>$AH8</formula>
    </cfRule>
  </conditionalFormatting>
  <conditionalFormatting sqref="M8:M132">
    <cfRule type="cellIs" dxfId="6" priority="7" operator="equal">
      <formula>$AH8</formula>
    </cfRule>
  </conditionalFormatting>
  <conditionalFormatting sqref="N8:N132">
    <cfRule type="cellIs" dxfId="5" priority="6" operator="equal">
      <formula>$AH8</formula>
    </cfRule>
  </conditionalFormatting>
  <conditionalFormatting sqref="O8:O132">
    <cfRule type="cellIs" dxfId="4" priority="5" operator="equal">
      <formula>$AH8</formula>
    </cfRule>
  </conditionalFormatting>
  <conditionalFormatting sqref="P8:P132">
    <cfRule type="cellIs" dxfId="3" priority="4" operator="equal">
      <formula>$AH8</formula>
    </cfRule>
  </conditionalFormatting>
  <conditionalFormatting sqref="Q8:Q132">
    <cfRule type="cellIs" dxfId="2" priority="3" operator="equal">
      <formula>$AH8</formula>
    </cfRule>
  </conditionalFormatting>
  <conditionalFormatting sqref="AC8:AC132">
    <cfRule type="cellIs" dxfId="1" priority="2" operator="equal">
      <formula>$AH8</formula>
    </cfRule>
  </conditionalFormatting>
  <conditionalFormatting sqref="AD8:AD132">
    <cfRule type="cellIs" dxfId="0" priority="1" operator="equal">
      <formula>$AH8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workbookViewId="0">
      <selection activeCell="M15" sqref="M15"/>
    </sheetView>
  </sheetViews>
  <sheetFormatPr baseColWidth="10" defaultRowHeight="12.75"/>
  <sheetData>
    <row r="1" spans="1:21" ht="24">
      <c r="A1" s="621" t="s">
        <v>702</v>
      </c>
      <c r="B1" s="622"/>
      <c r="C1" s="512" t="s">
        <v>703</v>
      </c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 t="s">
        <v>704</v>
      </c>
      <c r="T1" s="512" t="s">
        <v>399</v>
      </c>
      <c r="U1" s="513" t="s">
        <v>22</v>
      </c>
    </row>
    <row r="2" spans="1:21">
      <c r="A2" s="514" t="s">
        <v>705</v>
      </c>
      <c r="B2" s="515">
        <v>1097</v>
      </c>
      <c r="C2" s="515" t="s">
        <v>706</v>
      </c>
      <c r="D2" s="515">
        <v>0</v>
      </c>
      <c r="E2" s="515">
        <v>188</v>
      </c>
      <c r="F2" s="515">
        <v>12</v>
      </c>
      <c r="G2" s="515">
        <v>4</v>
      </c>
      <c r="H2" s="515">
        <v>3</v>
      </c>
      <c r="I2" s="515">
        <v>14</v>
      </c>
      <c r="J2" s="515">
        <v>1</v>
      </c>
      <c r="K2" s="515">
        <v>150</v>
      </c>
      <c r="L2" s="515">
        <v>6</v>
      </c>
      <c r="M2" s="515">
        <v>0</v>
      </c>
      <c r="N2" s="515">
        <v>8</v>
      </c>
      <c r="O2" s="515">
        <v>8</v>
      </c>
      <c r="P2" s="515">
        <v>0</v>
      </c>
      <c r="Q2" s="515">
        <v>0</v>
      </c>
      <c r="R2" s="515">
        <v>0</v>
      </c>
      <c r="S2" s="515">
        <v>0</v>
      </c>
      <c r="T2" s="515">
        <v>6</v>
      </c>
      <c r="U2" s="516">
        <v>400</v>
      </c>
    </row>
    <row r="3" spans="1:21">
      <c r="A3" s="517" t="s">
        <v>705</v>
      </c>
      <c r="B3" s="518">
        <v>1097</v>
      </c>
      <c r="C3" s="518" t="s">
        <v>707</v>
      </c>
      <c r="D3" s="518">
        <v>3</v>
      </c>
      <c r="E3" s="518">
        <v>159</v>
      </c>
      <c r="F3" s="518">
        <v>4</v>
      </c>
      <c r="G3" s="518">
        <v>0</v>
      </c>
      <c r="H3" s="518">
        <v>4</v>
      </c>
      <c r="I3" s="518">
        <v>6</v>
      </c>
      <c r="J3" s="518">
        <v>2</v>
      </c>
      <c r="K3" s="518">
        <v>146</v>
      </c>
      <c r="L3" s="518">
        <v>3</v>
      </c>
      <c r="M3" s="518">
        <v>0</v>
      </c>
      <c r="N3" s="518">
        <v>3</v>
      </c>
      <c r="O3" s="518">
        <v>1</v>
      </c>
      <c r="P3" s="518">
        <v>0</v>
      </c>
      <c r="Q3" s="518">
        <v>0</v>
      </c>
      <c r="R3" s="518">
        <v>0</v>
      </c>
      <c r="S3" s="518">
        <v>1</v>
      </c>
      <c r="T3" s="518">
        <v>7</v>
      </c>
      <c r="U3" s="519">
        <v>339</v>
      </c>
    </row>
    <row r="4" spans="1:21">
      <c r="A4" s="514" t="s">
        <v>705</v>
      </c>
      <c r="B4" s="515">
        <v>1097</v>
      </c>
      <c r="C4" s="515" t="s">
        <v>708</v>
      </c>
      <c r="D4" s="515">
        <v>2</v>
      </c>
      <c r="E4" s="515">
        <v>215</v>
      </c>
      <c r="F4" s="515">
        <v>2</v>
      </c>
      <c r="G4" s="515">
        <v>1</v>
      </c>
      <c r="H4" s="515">
        <v>9</v>
      </c>
      <c r="I4" s="515">
        <v>10</v>
      </c>
      <c r="J4" s="515">
        <v>2</v>
      </c>
      <c r="K4" s="515">
        <v>157</v>
      </c>
      <c r="L4" s="515">
        <v>2</v>
      </c>
      <c r="M4" s="515">
        <v>3</v>
      </c>
      <c r="N4" s="515">
        <v>1</v>
      </c>
      <c r="O4" s="515">
        <v>5</v>
      </c>
      <c r="P4" s="515">
        <v>2</v>
      </c>
      <c r="Q4" s="515">
        <v>0</v>
      </c>
      <c r="R4" s="515">
        <v>0</v>
      </c>
      <c r="S4" s="515">
        <v>0</v>
      </c>
      <c r="T4" s="515">
        <v>2</v>
      </c>
      <c r="U4" s="516">
        <v>413</v>
      </c>
    </row>
    <row r="5" spans="1:21">
      <c r="A5" s="517" t="s">
        <v>705</v>
      </c>
      <c r="B5" s="518">
        <v>1097</v>
      </c>
      <c r="C5" s="518" t="s">
        <v>709</v>
      </c>
      <c r="D5" s="518">
        <v>4</v>
      </c>
      <c r="E5" s="518">
        <v>179</v>
      </c>
      <c r="F5" s="518">
        <v>4</v>
      </c>
      <c r="G5" s="518">
        <v>4</v>
      </c>
      <c r="H5" s="518">
        <v>9</v>
      </c>
      <c r="I5" s="518">
        <v>5</v>
      </c>
      <c r="J5" s="518">
        <v>0</v>
      </c>
      <c r="K5" s="518">
        <v>188</v>
      </c>
      <c r="L5" s="518">
        <v>2</v>
      </c>
      <c r="M5" s="518">
        <v>2</v>
      </c>
      <c r="N5" s="518">
        <v>1</v>
      </c>
      <c r="O5" s="518">
        <v>5</v>
      </c>
      <c r="P5" s="518">
        <v>1</v>
      </c>
      <c r="Q5" s="518">
        <v>0</v>
      </c>
      <c r="R5" s="518">
        <v>0</v>
      </c>
      <c r="S5" s="518">
        <v>0</v>
      </c>
      <c r="T5" s="518">
        <v>5</v>
      </c>
      <c r="U5" s="519">
        <v>409</v>
      </c>
    </row>
    <row r="6" spans="1:21">
      <c r="A6" s="514" t="s">
        <v>705</v>
      </c>
      <c r="B6" s="515">
        <v>1097</v>
      </c>
      <c r="C6" s="515" t="s">
        <v>710</v>
      </c>
      <c r="D6" s="515">
        <v>2</v>
      </c>
      <c r="E6" s="515">
        <v>167</v>
      </c>
      <c r="F6" s="515">
        <v>3</v>
      </c>
      <c r="G6" s="515">
        <v>0</v>
      </c>
      <c r="H6" s="515">
        <v>7</v>
      </c>
      <c r="I6" s="515">
        <v>10</v>
      </c>
      <c r="J6" s="515">
        <v>2</v>
      </c>
      <c r="K6" s="515">
        <v>185</v>
      </c>
      <c r="L6" s="515">
        <v>3</v>
      </c>
      <c r="M6" s="515">
        <v>2</v>
      </c>
      <c r="N6" s="515">
        <v>3</v>
      </c>
      <c r="O6" s="515">
        <v>3</v>
      </c>
      <c r="P6" s="515">
        <v>0</v>
      </c>
      <c r="Q6" s="515">
        <v>0</v>
      </c>
      <c r="R6" s="515">
        <v>0</v>
      </c>
      <c r="S6" s="515">
        <v>0</v>
      </c>
      <c r="T6" s="515">
        <v>8</v>
      </c>
      <c r="U6" s="516">
        <v>395</v>
      </c>
    </row>
    <row r="7" spans="1:21">
      <c r="A7" s="517" t="s">
        <v>705</v>
      </c>
      <c r="B7" s="518">
        <v>1098</v>
      </c>
      <c r="C7" s="518" t="s">
        <v>706</v>
      </c>
      <c r="D7" s="518">
        <v>8</v>
      </c>
      <c r="E7" s="518">
        <v>220</v>
      </c>
      <c r="F7" s="518">
        <v>2</v>
      </c>
      <c r="G7" s="518">
        <v>1</v>
      </c>
      <c r="H7" s="518">
        <v>2</v>
      </c>
      <c r="I7" s="518">
        <v>4</v>
      </c>
      <c r="J7" s="518">
        <v>0</v>
      </c>
      <c r="K7" s="518">
        <v>166</v>
      </c>
      <c r="L7" s="518">
        <v>3</v>
      </c>
      <c r="M7" s="518">
        <v>0</v>
      </c>
      <c r="N7" s="518">
        <v>2</v>
      </c>
      <c r="O7" s="518">
        <v>3</v>
      </c>
      <c r="P7" s="518">
        <v>0</v>
      </c>
      <c r="Q7" s="518">
        <v>0</v>
      </c>
      <c r="R7" s="518">
        <v>0</v>
      </c>
      <c r="S7" s="518">
        <v>0</v>
      </c>
      <c r="T7" s="518">
        <v>6</v>
      </c>
      <c r="U7" s="519">
        <v>417</v>
      </c>
    </row>
    <row r="8" spans="1:21">
      <c r="A8" s="514" t="s">
        <v>705</v>
      </c>
      <c r="B8" s="515">
        <v>1098</v>
      </c>
      <c r="C8" s="515" t="s">
        <v>707</v>
      </c>
      <c r="D8" s="515">
        <v>3</v>
      </c>
      <c r="E8" s="515">
        <v>214</v>
      </c>
      <c r="F8" s="515">
        <v>1</v>
      </c>
      <c r="G8" s="515">
        <v>3</v>
      </c>
      <c r="H8" s="515">
        <v>7</v>
      </c>
      <c r="I8" s="515">
        <v>10</v>
      </c>
      <c r="J8" s="515">
        <v>3</v>
      </c>
      <c r="K8" s="515">
        <v>150</v>
      </c>
      <c r="L8" s="515">
        <v>7</v>
      </c>
      <c r="M8" s="515">
        <v>0</v>
      </c>
      <c r="N8" s="515">
        <v>2</v>
      </c>
      <c r="O8" s="515">
        <v>7</v>
      </c>
      <c r="P8" s="515">
        <v>1</v>
      </c>
      <c r="Q8" s="515">
        <v>0</v>
      </c>
      <c r="R8" s="515">
        <v>0</v>
      </c>
      <c r="S8" s="515">
        <v>0</v>
      </c>
      <c r="T8" s="515">
        <v>10</v>
      </c>
      <c r="U8" s="516">
        <v>418</v>
      </c>
    </row>
    <row r="9" spans="1:21">
      <c r="A9" s="517" t="s">
        <v>705</v>
      </c>
      <c r="B9" s="518">
        <v>1098</v>
      </c>
      <c r="C9" s="518" t="s">
        <v>708</v>
      </c>
      <c r="D9" s="518">
        <v>3</v>
      </c>
      <c r="E9" s="518">
        <v>216</v>
      </c>
      <c r="F9" s="518">
        <v>0</v>
      </c>
      <c r="G9" s="518">
        <v>0</v>
      </c>
      <c r="H9" s="518">
        <v>3</v>
      </c>
      <c r="I9" s="518">
        <v>7</v>
      </c>
      <c r="J9" s="518">
        <v>1</v>
      </c>
      <c r="K9" s="518">
        <v>163</v>
      </c>
      <c r="L9" s="518">
        <v>1</v>
      </c>
      <c r="M9" s="518">
        <v>1</v>
      </c>
      <c r="N9" s="518">
        <v>6</v>
      </c>
      <c r="O9" s="518">
        <v>3</v>
      </c>
      <c r="P9" s="518">
        <v>0</v>
      </c>
      <c r="Q9" s="518">
        <v>0</v>
      </c>
      <c r="R9" s="518">
        <v>0</v>
      </c>
      <c r="S9" s="518">
        <v>1</v>
      </c>
      <c r="T9" s="518">
        <v>5</v>
      </c>
      <c r="U9" s="519">
        <v>410</v>
      </c>
    </row>
    <row r="10" spans="1:21">
      <c r="A10" s="514" t="s">
        <v>705</v>
      </c>
      <c r="B10" s="515">
        <v>1098</v>
      </c>
      <c r="C10" s="515" t="s">
        <v>709</v>
      </c>
      <c r="D10" s="515">
        <v>4</v>
      </c>
      <c r="E10" s="515">
        <v>203</v>
      </c>
      <c r="F10" s="515">
        <v>4</v>
      </c>
      <c r="G10" s="515">
        <v>1</v>
      </c>
      <c r="H10" s="515">
        <v>1</v>
      </c>
      <c r="I10" s="515">
        <v>6</v>
      </c>
      <c r="J10" s="515">
        <v>5</v>
      </c>
      <c r="K10" s="515">
        <v>165</v>
      </c>
      <c r="L10" s="515">
        <v>3</v>
      </c>
      <c r="M10" s="515">
        <v>1</v>
      </c>
      <c r="N10" s="515">
        <v>5</v>
      </c>
      <c r="O10" s="515">
        <v>5</v>
      </c>
      <c r="P10" s="515">
        <v>0</v>
      </c>
      <c r="Q10" s="515">
        <v>0</v>
      </c>
      <c r="R10" s="515">
        <v>0</v>
      </c>
      <c r="S10" s="515">
        <v>1</v>
      </c>
      <c r="T10" s="515">
        <v>3</v>
      </c>
      <c r="U10" s="516">
        <v>407</v>
      </c>
    </row>
    <row r="11" spans="1:21">
      <c r="A11" s="517" t="s">
        <v>705</v>
      </c>
      <c r="B11" s="518">
        <v>1098</v>
      </c>
      <c r="C11" s="518" t="s">
        <v>710</v>
      </c>
      <c r="D11" s="518">
        <v>1</v>
      </c>
      <c r="E11" s="518">
        <v>204</v>
      </c>
      <c r="F11" s="518">
        <v>1</v>
      </c>
      <c r="G11" s="518">
        <v>2</v>
      </c>
      <c r="H11" s="518">
        <v>7</v>
      </c>
      <c r="I11" s="518">
        <v>6</v>
      </c>
      <c r="J11" s="518">
        <v>2</v>
      </c>
      <c r="K11" s="518">
        <v>158</v>
      </c>
      <c r="L11" s="518">
        <v>1</v>
      </c>
      <c r="M11" s="518">
        <v>0</v>
      </c>
      <c r="N11" s="518">
        <v>3</v>
      </c>
      <c r="O11" s="518">
        <v>6</v>
      </c>
      <c r="P11" s="518">
        <v>1</v>
      </c>
      <c r="Q11" s="518">
        <v>0</v>
      </c>
      <c r="R11" s="518">
        <v>0</v>
      </c>
      <c r="S11" s="518">
        <v>0</v>
      </c>
      <c r="T11" s="518">
        <v>2</v>
      </c>
      <c r="U11" s="519">
        <v>394</v>
      </c>
    </row>
    <row r="12" spans="1:21">
      <c r="A12" s="514" t="s">
        <v>705</v>
      </c>
      <c r="B12" s="515">
        <v>1099</v>
      </c>
      <c r="C12" s="515" t="s">
        <v>706</v>
      </c>
      <c r="D12" s="515">
        <v>3</v>
      </c>
      <c r="E12" s="515">
        <v>156</v>
      </c>
      <c r="F12" s="515">
        <v>1</v>
      </c>
      <c r="G12" s="515">
        <v>1</v>
      </c>
      <c r="H12" s="515">
        <v>6</v>
      </c>
      <c r="I12" s="515">
        <v>1</v>
      </c>
      <c r="J12" s="515">
        <v>1</v>
      </c>
      <c r="K12" s="515">
        <v>212</v>
      </c>
      <c r="L12" s="515">
        <v>0</v>
      </c>
      <c r="M12" s="515">
        <v>1</v>
      </c>
      <c r="N12" s="515">
        <v>5</v>
      </c>
      <c r="O12" s="515">
        <v>3</v>
      </c>
      <c r="P12" s="515">
        <v>0</v>
      </c>
      <c r="Q12" s="515">
        <v>0</v>
      </c>
      <c r="R12" s="515">
        <v>0</v>
      </c>
      <c r="S12" s="515">
        <v>0</v>
      </c>
      <c r="T12" s="515">
        <v>7</v>
      </c>
      <c r="U12" s="516">
        <v>397</v>
      </c>
    </row>
    <row r="13" spans="1:21">
      <c r="A13" s="517" t="s">
        <v>705</v>
      </c>
      <c r="B13" s="518">
        <v>1099</v>
      </c>
      <c r="C13" s="518" t="s">
        <v>707</v>
      </c>
      <c r="D13" s="518">
        <v>2</v>
      </c>
      <c r="E13" s="518">
        <v>206</v>
      </c>
      <c r="F13" s="518">
        <v>0</v>
      </c>
      <c r="G13" s="518">
        <v>0</v>
      </c>
      <c r="H13" s="518">
        <v>1</v>
      </c>
      <c r="I13" s="518">
        <v>5</v>
      </c>
      <c r="J13" s="518">
        <v>1</v>
      </c>
      <c r="K13" s="518">
        <v>163</v>
      </c>
      <c r="L13" s="518">
        <v>2</v>
      </c>
      <c r="M13" s="518">
        <v>0</v>
      </c>
      <c r="N13" s="518">
        <v>1</v>
      </c>
      <c r="O13" s="518">
        <v>2</v>
      </c>
      <c r="P13" s="518">
        <v>0</v>
      </c>
      <c r="Q13" s="518">
        <v>0</v>
      </c>
      <c r="R13" s="518">
        <v>0</v>
      </c>
      <c r="S13" s="518">
        <v>0</v>
      </c>
      <c r="T13" s="518">
        <v>3</v>
      </c>
      <c r="U13" s="519">
        <v>386</v>
      </c>
    </row>
    <row r="14" spans="1:21">
      <c r="A14" s="514" t="s">
        <v>705</v>
      </c>
      <c r="B14" s="515">
        <v>1099</v>
      </c>
      <c r="C14" s="515" t="s">
        <v>708</v>
      </c>
      <c r="D14" s="515">
        <v>3</v>
      </c>
      <c r="E14" s="515">
        <v>158</v>
      </c>
      <c r="F14" s="515">
        <v>0</v>
      </c>
      <c r="G14" s="515">
        <v>1</v>
      </c>
      <c r="H14" s="515">
        <v>5</v>
      </c>
      <c r="I14" s="515">
        <v>12</v>
      </c>
      <c r="J14" s="515">
        <v>0</v>
      </c>
      <c r="K14" s="515">
        <v>216</v>
      </c>
      <c r="L14" s="515">
        <v>2</v>
      </c>
      <c r="M14" s="515">
        <v>1</v>
      </c>
      <c r="N14" s="515">
        <v>2</v>
      </c>
      <c r="O14" s="515">
        <v>1</v>
      </c>
      <c r="P14" s="515">
        <v>1</v>
      </c>
      <c r="Q14" s="515">
        <v>1</v>
      </c>
      <c r="R14" s="515">
        <v>0</v>
      </c>
      <c r="S14" s="515">
        <v>0</v>
      </c>
      <c r="T14" s="515">
        <v>4</v>
      </c>
      <c r="U14" s="516">
        <v>407</v>
      </c>
    </row>
    <row r="15" spans="1:21">
      <c r="A15" s="517" t="s">
        <v>705</v>
      </c>
      <c r="B15" s="518">
        <v>1100</v>
      </c>
      <c r="C15" s="518" t="s">
        <v>706</v>
      </c>
      <c r="D15" s="518">
        <v>2</v>
      </c>
      <c r="E15" s="518">
        <v>110</v>
      </c>
      <c r="F15" s="518">
        <v>3</v>
      </c>
      <c r="G15" s="518">
        <v>0</v>
      </c>
      <c r="H15" s="518">
        <v>2</v>
      </c>
      <c r="I15" s="518">
        <v>3</v>
      </c>
      <c r="J15" s="518">
        <v>2</v>
      </c>
      <c r="K15" s="518">
        <v>62</v>
      </c>
      <c r="L15" s="518">
        <v>1</v>
      </c>
      <c r="M15" s="518">
        <v>0</v>
      </c>
      <c r="N15" s="518">
        <v>3</v>
      </c>
      <c r="O15" s="518">
        <v>3</v>
      </c>
      <c r="P15" s="518">
        <v>0</v>
      </c>
      <c r="Q15" s="518">
        <v>0</v>
      </c>
      <c r="R15" s="518">
        <v>0</v>
      </c>
      <c r="S15" s="518">
        <v>1</v>
      </c>
      <c r="T15" s="518">
        <v>3</v>
      </c>
      <c r="U15" s="519">
        <v>195</v>
      </c>
    </row>
    <row r="16" spans="1:21">
      <c r="A16" s="514" t="s">
        <v>705</v>
      </c>
      <c r="B16" s="515">
        <v>1100</v>
      </c>
      <c r="C16" s="515" t="s">
        <v>707</v>
      </c>
      <c r="D16" s="515">
        <v>1</v>
      </c>
      <c r="E16" s="515">
        <v>105</v>
      </c>
      <c r="F16" s="515">
        <v>6</v>
      </c>
      <c r="G16" s="515">
        <v>1</v>
      </c>
      <c r="H16" s="515">
        <v>1</v>
      </c>
      <c r="I16" s="515">
        <v>4</v>
      </c>
      <c r="J16" s="515">
        <v>2</v>
      </c>
      <c r="K16" s="515">
        <v>60</v>
      </c>
      <c r="L16" s="515">
        <v>6</v>
      </c>
      <c r="M16" s="515">
        <v>3</v>
      </c>
      <c r="N16" s="515">
        <v>1</v>
      </c>
      <c r="O16" s="515">
        <v>2</v>
      </c>
      <c r="P16" s="515">
        <v>0</v>
      </c>
      <c r="Q16" s="515">
        <v>0</v>
      </c>
      <c r="R16" s="515">
        <v>0</v>
      </c>
      <c r="S16" s="515">
        <v>0</v>
      </c>
      <c r="T16" s="515">
        <v>4</v>
      </c>
      <c r="U16" s="516">
        <v>196</v>
      </c>
    </row>
    <row r="17" spans="1:21">
      <c r="A17" s="517" t="s">
        <v>705</v>
      </c>
      <c r="B17" s="518">
        <v>1101</v>
      </c>
      <c r="C17" s="518" t="s">
        <v>706</v>
      </c>
      <c r="D17" s="518">
        <v>2</v>
      </c>
      <c r="E17" s="518">
        <v>210</v>
      </c>
      <c r="F17" s="518">
        <v>27</v>
      </c>
      <c r="G17" s="518">
        <v>3</v>
      </c>
      <c r="H17" s="518">
        <v>2</v>
      </c>
      <c r="I17" s="518">
        <v>16</v>
      </c>
      <c r="J17" s="518">
        <v>2</v>
      </c>
      <c r="K17" s="518">
        <v>243</v>
      </c>
      <c r="L17" s="518">
        <v>9</v>
      </c>
      <c r="M17" s="518">
        <v>0</v>
      </c>
      <c r="N17" s="518">
        <v>3</v>
      </c>
      <c r="O17" s="518">
        <v>2</v>
      </c>
      <c r="P17" s="518">
        <v>0</v>
      </c>
      <c r="Q17" s="518">
        <v>1</v>
      </c>
      <c r="R17" s="518">
        <v>0</v>
      </c>
      <c r="S17" s="518">
        <v>0</v>
      </c>
      <c r="T17" s="518">
        <v>9</v>
      </c>
      <c r="U17" s="519">
        <v>529</v>
      </c>
    </row>
    <row r="18" spans="1:21">
      <c r="A18" s="514" t="s">
        <v>705</v>
      </c>
      <c r="B18" s="515">
        <v>1101</v>
      </c>
      <c r="C18" s="515" t="s">
        <v>707</v>
      </c>
      <c r="D18" s="515">
        <v>2</v>
      </c>
      <c r="E18" s="515">
        <v>220</v>
      </c>
      <c r="F18" s="515">
        <v>13</v>
      </c>
      <c r="G18" s="515">
        <v>3</v>
      </c>
      <c r="H18" s="515">
        <v>5</v>
      </c>
      <c r="I18" s="515">
        <v>12</v>
      </c>
      <c r="J18" s="515">
        <v>4</v>
      </c>
      <c r="K18" s="515">
        <v>241</v>
      </c>
      <c r="L18" s="515">
        <v>7</v>
      </c>
      <c r="M18" s="515">
        <v>0</v>
      </c>
      <c r="N18" s="515">
        <v>5</v>
      </c>
      <c r="O18" s="515">
        <v>3</v>
      </c>
      <c r="P18" s="515">
        <v>0</v>
      </c>
      <c r="Q18" s="515">
        <v>0</v>
      </c>
      <c r="R18" s="515">
        <v>0</v>
      </c>
      <c r="S18" s="515">
        <v>1</v>
      </c>
      <c r="T18" s="515">
        <v>7</v>
      </c>
      <c r="U18" s="516">
        <v>523</v>
      </c>
    </row>
    <row r="19" spans="1:21">
      <c r="A19" s="517" t="s">
        <v>705</v>
      </c>
      <c r="B19" s="518">
        <v>1102</v>
      </c>
      <c r="C19" s="518" t="s">
        <v>706</v>
      </c>
      <c r="D19" s="518">
        <v>5</v>
      </c>
      <c r="E19" s="518">
        <v>184</v>
      </c>
      <c r="F19" s="518">
        <v>2</v>
      </c>
      <c r="G19" s="518">
        <v>0</v>
      </c>
      <c r="H19" s="518">
        <v>10</v>
      </c>
      <c r="I19" s="518">
        <v>4</v>
      </c>
      <c r="J19" s="518">
        <v>0</v>
      </c>
      <c r="K19" s="518">
        <v>123</v>
      </c>
      <c r="L19" s="518">
        <v>2</v>
      </c>
      <c r="M19" s="518">
        <v>0</v>
      </c>
      <c r="N19" s="518">
        <v>2</v>
      </c>
      <c r="O19" s="518">
        <v>1</v>
      </c>
      <c r="P19" s="518">
        <v>0</v>
      </c>
      <c r="Q19" s="518">
        <v>0</v>
      </c>
      <c r="R19" s="518">
        <v>0</v>
      </c>
      <c r="S19" s="518">
        <v>0</v>
      </c>
      <c r="T19" s="518">
        <v>6</v>
      </c>
      <c r="U19" s="519">
        <v>339</v>
      </c>
    </row>
    <row r="20" spans="1:21">
      <c r="A20" s="514" t="s">
        <v>705</v>
      </c>
      <c r="B20" s="515">
        <v>1102</v>
      </c>
      <c r="C20" s="515" t="s">
        <v>707</v>
      </c>
      <c r="D20" s="515">
        <v>3</v>
      </c>
      <c r="E20" s="515">
        <v>133</v>
      </c>
      <c r="F20" s="515">
        <v>2</v>
      </c>
      <c r="G20" s="515">
        <v>0</v>
      </c>
      <c r="H20" s="515">
        <v>8</v>
      </c>
      <c r="I20" s="515">
        <v>8</v>
      </c>
      <c r="J20" s="515">
        <v>0</v>
      </c>
      <c r="K20" s="515">
        <v>132</v>
      </c>
      <c r="L20" s="515">
        <v>0</v>
      </c>
      <c r="M20" s="515">
        <v>0</v>
      </c>
      <c r="N20" s="515">
        <v>2</v>
      </c>
      <c r="O20" s="515">
        <v>6</v>
      </c>
      <c r="P20" s="515">
        <v>1</v>
      </c>
      <c r="Q20" s="515">
        <v>0</v>
      </c>
      <c r="R20" s="515">
        <v>0</v>
      </c>
      <c r="S20" s="515">
        <v>0</v>
      </c>
      <c r="T20" s="515">
        <v>7</v>
      </c>
      <c r="U20" s="516">
        <v>302</v>
      </c>
    </row>
    <row r="21" spans="1:21">
      <c r="A21" s="517" t="s">
        <v>705</v>
      </c>
      <c r="B21" s="518">
        <v>1103</v>
      </c>
      <c r="C21" s="518" t="s">
        <v>706</v>
      </c>
      <c r="D21" s="518">
        <v>2</v>
      </c>
      <c r="E21" s="518">
        <v>168</v>
      </c>
      <c r="F21" s="518">
        <v>1</v>
      </c>
      <c r="G21" s="518">
        <v>1</v>
      </c>
      <c r="H21" s="518">
        <v>1</v>
      </c>
      <c r="I21" s="518">
        <v>7</v>
      </c>
      <c r="J21" s="518">
        <v>0</v>
      </c>
      <c r="K21" s="518">
        <v>101</v>
      </c>
      <c r="L21" s="518">
        <v>0</v>
      </c>
      <c r="M21" s="518">
        <v>0</v>
      </c>
      <c r="N21" s="518">
        <v>0</v>
      </c>
      <c r="O21" s="518">
        <v>6</v>
      </c>
      <c r="P21" s="518">
        <v>0</v>
      </c>
      <c r="Q21" s="518">
        <v>0</v>
      </c>
      <c r="R21" s="518">
        <v>0</v>
      </c>
      <c r="S21" s="518">
        <v>0</v>
      </c>
      <c r="T21" s="518">
        <v>3</v>
      </c>
      <c r="U21" s="519">
        <v>290</v>
      </c>
    </row>
    <row r="22" spans="1:21">
      <c r="A22" s="514" t="s">
        <v>705</v>
      </c>
      <c r="B22" s="515">
        <v>1103</v>
      </c>
      <c r="C22" s="515" t="s">
        <v>707</v>
      </c>
      <c r="D22" s="515">
        <v>2</v>
      </c>
      <c r="E22" s="515">
        <v>136</v>
      </c>
      <c r="F22" s="515">
        <v>0</v>
      </c>
      <c r="G22" s="515">
        <v>0</v>
      </c>
      <c r="H22" s="515">
        <v>2</v>
      </c>
      <c r="I22" s="515">
        <v>2</v>
      </c>
      <c r="J22" s="515">
        <v>1</v>
      </c>
      <c r="K22" s="515">
        <v>109</v>
      </c>
      <c r="L22" s="515">
        <v>1</v>
      </c>
      <c r="M22" s="515">
        <v>0</v>
      </c>
      <c r="N22" s="515">
        <v>3</v>
      </c>
      <c r="O22" s="515">
        <v>3</v>
      </c>
      <c r="P22" s="515">
        <v>0</v>
      </c>
      <c r="Q22" s="515">
        <v>0</v>
      </c>
      <c r="R22" s="515">
        <v>0</v>
      </c>
      <c r="S22" s="515">
        <v>0</v>
      </c>
      <c r="T22" s="515">
        <v>7</v>
      </c>
      <c r="U22" s="516">
        <v>266</v>
      </c>
    </row>
    <row r="23" spans="1:21">
      <c r="A23" s="517" t="s">
        <v>705</v>
      </c>
      <c r="B23" s="518">
        <v>1104</v>
      </c>
      <c r="C23" s="518" t="s">
        <v>706</v>
      </c>
      <c r="D23" s="518">
        <v>1</v>
      </c>
      <c r="E23" s="518">
        <v>192</v>
      </c>
      <c r="F23" s="518">
        <v>10</v>
      </c>
      <c r="G23" s="518">
        <v>2</v>
      </c>
      <c r="H23" s="518">
        <v>6</v>
      </c>
      <c r="I23" s="518">
        <v>4</v>
      </c>
      <c r="J23" s="518">
        <v>0</v>
      </c>
      <c r="K23" s="518">
        <v>149</v>
      </c>
      <c r="L23" s="518">
        <v>1</v>
      </c>
      <c r="M23" s="518">
        <v>0</v>
      </c>
      <c r="N23" s="518">
        <v>5</v>
      </c>
      <c r="O23" s="518">
        <v>8</v>
      </c>
      <c r="P23" s="518">
        <v>2</v>
      </c>
      <c r="Q23" s="518">
        <v>0</v>
      </c>
      <c r="R23" s="518">
        <v>0</v>
      </c>
      <c r="S23" s="518">
        <v>0</v>
      </c>
      <c r="T23" s="518">
        <v>4</v>
      </c>
      <c r="U23" s="519">
        <v>384</v>
      </c>
    </row>
    <row r="24" spans="1:21">
      <c r="A24" s="514" t="s">
        <v>705</v>
      </c>
      <c r="B24" s="515">
        <v>1105</v>
      </c>
      <c r="C24" s="515" t="s">
        <v>706</v>
      </c>
      <c r="D24" s="515">
        <v>8</v>
      </c>
      <c r="E24" s="515">
        <v>251</v>
      </c>
      <c r="F24" s="515">
        <v>3</v>
      </c>
      <c r="G24" s="515">
        <v>1</v>
      </c>
      <c r="H24" s="515">
        <v>12</v>
      </c>
      <c r="I24" s="515">
        <v>5</v>
      </c>
      <c r="J24" s="515">
        <v>0</v>
      </c>
      <c r="K24" s="515">
        <v>205</v>
      </c>
      <c r="L24" s="515">
        <v>0</v>
      </c>
      <c r="M24" s="515">
        <v>0</v>
      </c>
      <c r="N24" s="515">
        <v>3</v>
      </c>
      <c r="O24" s="515">
        <v>6</v>
      </c>
      <c r="P24" s="515">
        <v>0</v>
      </c>
      <c r="Q24" s="515">
        <v>0</v>
      </c>
      <c r="R24" s="515">
        <v>0</v>
      </c>
      <c r="S24" s="515">
        <v>0</v>
      </c>
      <c r="T24" s="515">
        <v>9</v>
      </c>
      <c r="U24" s="516">
        <v>503</v>
      </c>
    </row>
    <row r="25" spans="1:21">
      <c r="A25" s="517" t="s">
        <v>705</v>
      </c>
      <c r="B25" s="518">
        <v>1106</v>
      </c>
      <c r="C25" s="518" t="s">
        <v>706</v>
      </c>
      <c r="D25" s="518">
        <v>2</v>
      </c>
      <c r="E25" s="518">
        <v>130</v>
      </c>
      <c r="F25" s="518">
        <v>4</v>
      </c>
      <c r="G25" s="518">
        <v>0</v>
      </c>
      <c r="H25" s="518">
        <v>6</v>
      </c>
      <c r="I25" s="518">
        <v>13</v>
      </c>
      <c r="J25" s="518">
        <v>1</v>
      </c>
      <c r="K25" s="518">
        <v>174</v>
      </c>
      <c r="L25" s="518">
        <v>3</v>
      </c>
      <c r="M25" s="518">
        <v>0</v>
      </c>
      <c r="N25" s="518">
        <v>4</v>
      </c>
      <c r="O25" s="518">
        <v>2</v>
      </c>
      <c r="P25" s="518">
        <v>0</v>
      </c>
      <c r="Q25" s="518">
        <v>0</v>
      </c>
      <c r="R25" s="518">
        <v>0</v>
      </c>
      <c r="S25" s="518">
        <v>0</v>
      </c>
      <c r="T25" s="518">
        <v>6</v>
      </c>
      <c r="U25" s="519">
        <v>345</v>
      </c>
    </row>
    <row r="26" spans="1:21">
      <c r="A26" s="514" t="s">
        <v>705</v>
      </c>
      <c r="B26" s="515">
        <v>1106</v>
      </c>
      <c r="C26" s="515" t="s">
        <v>707</v>
      </c>
      <c r="D26" s="515">
        <v>1</v>
      </c>
      <c r="E26" s="515">
        <v>203</v>
      </c>
      <c r="F26" s="515">
        <v>4</v>
      </c>
      <c r="G26" s="515">
        <v>0</v>
      </c>
      <c r="H26" s="515">
        <v>4</v>
      </c>
      <c r="I26" s="515">
        <v>7</v>
      </c>
      <c r="J26" s="515">
        <v>0</v>
      </c>
      <c r="K26" s="515">
        <v>132</v>
      </c>
      <c r="L26" s="515">
        <v>0</v>
      </c>
      <c r="M26" s="515">
        <v>1</v>
      </c>
      <c r="N26" s="515">
        <v>1</v>
      </c>
      <c r="O26" s="515">
        <v>3</v>
      </c>
      <c r="P26" s="515">
        <v>0</v>
      </c>
      <c r="Q26" s="515">
        <v>0</v>
      </c>
      <c r="R26" s="515">
        <v>0</v>
      </c>
      <c r="S26" s="515">
        <v>0</v>
      </c>
      <c r="T26" s="515">
        <v>4</v>
      </c>
      <c r="U26" s="516">
        <v>360</v>
      </c>
    </row>
    <row r="27" spans="1:21">
      <c r="A27" s="517" t="s">
        <v>705</v>
      </c>
      <c r="B27" s="518">
        <v>1107</v>
      </c>
      <c r="C27" s="518" t="s">
        <v>706</v>
      </c>
      <c r="D27" s="518">
        <v>1</v>
      </c>
      <c r="E27" s="518">
        <v>183</v>
      </c>
      <c r="F27" s="518">
        <v>10</v>
      </c>
      <c r="G27" s="518">
        <v>4</v>
      </c>
      <c r="H27" s="518">
        <v>10</v>
      </c>
      <c r="I27" s="518">
        <v>10</v>
      </c>
      <c r="J27" s="518">
        <v>1</v>
      </c>
      <c r="K27" s="518">
        <v>171</v>
      </c>
      <c r="L27" s="518">
        <v>8</v>
      </c>
      <c r="M27" s="518">
        <v>1</v>
      </c>
      <c r="N27" s="518">
        <v>4</v>
      </c>
      <c r="O27" s="518">
        <v>3</v>
      </c>
      <c r="P27" s="518">
        <v>1</v>
      </c>
      <c r="Q27" s="518">
        <v>0</v>
      </c>
      <c r="R27" s="518">
        <v>0</v>
      </c>
      <c r="S27" s="518">
        <v>0</v>
      </c>
      <c r="T27" s="518">
        <v>14</v>
      </c>
      <c r="U27" s="519">
        <v>421</v>
      </c>
    </row>
    <row r="28" spans="1:21">
      <c r="A28" s="514" t="s">
        <v>705</v>
      </c>
      <c r="B28" s="515">
        <v>1107</v>
      </c>
      <c r="C28" s="515" t="s">
        <v>707</v>
      </c>
      <c r="D28" s="515">
        <v>3</v>
      </c>
      <c r="E28" s="515">
        <v>176</v>
      </c>
      <c r="F28" s="515">
        <v>6</v>
      </c>
      <c r="G28" s="515">
        <v>2</v>
      </c>
      <c r="H28" s="515">
        <v>10</v>
      </c>
      <c r="I28" s="515">
        <v>9</v>
      </c>
      <c r="J28" s="515">
        <v>1</v>
      </c>
      <c r="K28" s="515">
        <v>178</v>
      </c>
      <c r="L28" s="515">
        <v>5</v>
      </c>
      <c r="M28" s="515">
        <v>1</v>
      </c>
      <c r="N28" s="515">
        <v>8</v>
      </c>
      <c r="O28" s="515">
        <v>1</v>
      </c>
      <c r="P28" s="515">
        <v>3</v>
      </c>
      <c r="Q28" s="515">
        <v>0</v>
      </c>
      <c r="R28" s="515">
        <v>0</v>
      </c>
      <c r="S28" s="515">
        <v>0</v>
      </c>
      <c r="T28" s="515">
        <v>15</v>
      </c>
      <c r="U28" s="516">
        <v>418</v>
      </c>
    </row>
    <row r="29" spans="1:21">
      <c r="A29" s="517" t="s">
        <v>705</v>
      </c>
      <c r="B29" s="518">
        <v>1107</v>
      </c>
      <c r="C29" s="518" t="s">
        <v>708</v>
      </c>
      <c r="D29" s="518">
        <v>2</v>
      </c>
      <c r="E29" s="518">
        <v>189</v>
      </c>
      <c r="F29" s="518">
        <v>9</v>
      </c>
      <c r="G29" s="518">
        <v>0</v>
      </c>
      <c r="H29" s="518">
        <v>14</v>
      </c>
      <c r="I29" s="518">
        <v>12</v>
      </c>
      <c r="J29" s="518">
        <v>1</v>
      </c>
      <c r="K29" s="518">
        <v>202</v>
      </c>
      <c r="L29" s="518">
        <v>10</v>
      </c>
      <c r="M29" s="518">
        <v>2</v>
      </c>
      <c r="N29" s="518">
        <v>8</v>
      </c>
      <c r="O29" s="518">
        <v>5</v>
      </c>
      <c r="P29" s="518">
        <v>0</v>
      </c>
      <c r="Q29" s="518">
        <v>0</v>
      </c>
      <c r="R29" s="518">
        <v>0</v>
      </c>
      <c r="S29" s="518">
        <v>0</v>
      </c>
      <c r="T29" s="518">
        <v>11</v>
      </c>
      <c r="U29" s="519">
        <v>465</v>
      </c>
    </row>
    <row r="30" spans="1:21">
      <c r="A30" s="514" t="s">
        <v>705</v>
      </c>
      <c r="B30" s="515">
        <v>1107</v>
      </c>
      <c r="C30" s="515" t="s">
        <v>709</v>
      </c>
      <c r="D30" s="515">
        <v>3</v>
      </c>
      <c r="E30" s="515">
        <v>188</v>
      </c>
      <c r="F30" s="515">
        <v>8</v>
      </c>
      <c r="G30" s="515">
        <v>0</v>
      </c>
      <c r="H30" s="515">
        <v>8</v>
      </c>
      <c r="I30" s="515">
        <v>9</v>
      </c>
      <c r="J30" s="515">
        <v>0</v>
      </c>
      <c r="K30" s="515">
        <v>202</v>
      </c>
      <c r="L30" s="515">
        <v>12</v>
      </c>
      <c r="M30" s="515">
        <v>1</v>
      </c>
      <c r="N30" s="515">
        <v>5</v>
      </c>
      <c r="O30" s="515">
        <v>5</v>
      </c>
      <c r="P30" s="515">
        <v>0</v>
      </c>
      <c r="Q30" s="515">
        <v>0</v>
      </c>
      <c r="R30" s="515">
        <v>0</v>
      </c>
      <c r="S30" s="515">
        <v>1</v>
      </c>
      <c r="T30" s="515">
        <v>6</v>
      </c>
      <c r="U30" s="516">
        <v>448</v>
      </c>
    </row>
    <row r="31" spans="1:21">
      <c r="A31" s="517" t="s">
        <v>705</v>
      </c>
      <c r="B31" s="518">
        <v>1108</v>
      </c>
      <c r="C31" s="518" t="s">
        <v>706</v>
      </c>
      <c r="D31" s="518">
        <v>13</v>
      </c>
      <c r="E31" s="518">
        <v>159</v>
      </c>
      <c r="F31" s="518">
        <v>13</v>
      </c>
      <c r="G31" s="518">
        <v>2</v>
      </c>
      <c r="H31" s="518">
        <v>3</v>
      </c>
      <c r="I31" s="518">
        <v>5</v>
      </c>
      <c r="J31" s="518">
        <v>3</v>
      </c>
      <c r="K31" s="518">
        <v>201</v>
      </c>
      <c r="L31" s="518">
        <v>4</v>
      </c>
      <c r="M31" s="518">
        <v>1</v>
      </c>
      <c r="N31" s="518">
        <v>3</v>
      </c>
      <c r="O31" s="518">
        <v>8</v>
      </c>
      <c r="P31" s="518">
        <v>2</v>
      </c>
      <c r="Q31" s="518">
        <v>0</v>
      </c>
      <c r="R31" s="518">
        <v>0</v>
      </c>
      <c r="S31" s="518">
        <v>0</v>
      </c>
      <c r="T31" s="518">
        <v>12</v>
      </c>
      <c r="U31" s="519">
        <v>429</v>
      </c>
    </row>
    <row r="32" spans="1:21">
      <c r="A32" s="514" t="s">
        <v>705</v>
      </c>
      <c r="B32" s="515">
        <v>1108</v>
      </c>
      <c r="C32" s="515" t="s">
        <v>707</v>
      </c>
      <c r="D32" s="515">
        <v>2</v>
      </c>
      <c r="E32" s="515">
        <v>175</v>
      </c>
      <c r="F32" s="515">
        <v>8</v>
      </c>
      <c r="G32" s="515">
        <v>5</v>
      </c>
      <c r="H32" s="515">
        <v>1</v>
      </c>
      <c r="I32" s="515">
        <v>7</v>
      </c>
      <c r="J32" s="515">
        <v>0</v>
      </c>
      <c r="K32" s="515">
        <v>196</v>
      </c>
      <c r="L32" s="515">
        <v>2</v>
      </c>
      <c r="M32" s="515">
        <v>0</v>
      </c>
      <c r="N32" s="515">
        <v>2</v>
      </c>
      <c r="O32" s="515">
        <v>5</v>
      </c>
      <c r="P32" s="515">
        <v>2</v>
      </c>
      <c r="Q32" s="515">
        <v>0</v>
      </c>
      <c r="R32" s="515">
        <v>2</v>
      </c>
      <c r="S32" s="515">
        <v>0</v>
      </c>
      <c r="T32" s="515">
        <v>11</v>
      </c>
      <c r="U32" s="516">
        <v>418</v>
      </c>
    </row>
    <row r="33" spans="1:21">
      <c r="A33" s="517" t="s">
        <v>705</v>
      </c>
      <c r="B33" s="518">
        <v>1108</v>
      </c>
      <c r="C33" s="518" t="s">
        <v>708</v>
      </c>
      <c r="D33" s="518">
        <v>1</v>
      </c>
      <c r="E33" s="518">
        <v>175</v>
      </c>
      <c r="F33" s="518">
        <v>13</v>
      </c>
      <c r="G33" s="518">
        <v>1</v>
      </c>
      <c r="H33" s="518">
        <v>1</v>
      </c>
      <c r="I33" s="518">
        <v>5</v>
      </c>
      <c r="J33" s="518">
        <v>0</v>
      </c>
      <c r="K33" s="518">
        <v>224</v>
      </c>
      <c r="L33" s="518">
        <v>0</v>
      </c>
      <c r="M33" s="518">
        <v>3</v>
      </c>
      <c r="N33" s="518">
        <v>4</v>
      </c>
      <c r="O33" s="518">
        <v>4</v>
      </c>
      <c r="P33" s="518">
        <v>2</v>
      </c>
      <c r="Q33" s="518">
        <v>0</v>
      </c>
      <c r="R33" s="518">
        <v>0</v>
      </c>
      <c r="S33" s="518">
        <v>0</v>
      </c>
      <c r="T33" s="518">
        <v>9</v>
      </c>
      <c r="U33" s="519">
        <v>442</v>
      </c>
    </row>
    <row r="34" spans="1:21">
      <c r="A34" s="514" t="s">
        <v>705</v>
      </c>
      <c r="B34" s="515">
        <v>1108</v>
      </c>
      <c r="C34" s="515" t="s">
        <v>709</v>
      </c>
      <c r="D34" s="515">
        <v>10</v>
      </c>
      <c r="E34" s="515">
        <v>188</v>
      </c>
      <c r="F34" s="515">
        <v>9</v>
      </c>
      <c r="G34" s="515">
        <v>5</v>
      </c>
      <c r="H34" s="515">
        <v>3</v>
      </c>
      <c r="I34" s="515">
        <v>4</v>
      </c>
      <c r="J34" s="515">
        <v>1</v>
      </c>
      <c r="K34" s="515">
        <v>217</v>
      </c>
      <c r="L34" s="515">
        <v>6</v>
      </c>
      <c r="M34" s="515">
        <v>0</v>
      </c>
      <c r="N34" s="515">
        <v>1</v>
      </c>
      <c r="O34" s="515">
        <v>5</v>
      </c>
      <c r="P34" s="515">
        <v>0</v>
      </c>
      <c r="Q34" s="515">
        <v>0</v>
      </c>
      <c r="R34" s="515">
        <v>2</v>
      </c>
      <c r="S34" s="515">
        <v>0</v>
      </c>
      <c r="T34" s="515">
        <v>8</v>
      </c>
      <c r="U34" s="516">
        <v>459</v>
      </c>
    </row>
    <row r="35" spans="1:21">
      <c r="A35" s="623" t="s">
        <v>711</v>
      </c>
      <c r="B35" s="624"/>
      <c r="C35" s="625"/>
      <c r="D35" s="520">
        <v>104</v>
      </c>
      <c r="E35" s="521">
        <v>5960</v>
      </c>
      <c r="F35" s="520">
        <v>185</v>
      </c>
      <c r="G35" s="520">
        <v>48</v>
      </c>
      <c r="H35" s="520">
        <v>173</v>
      </c>
      <c r="I35" s="520">
        <v>242</v>
      </c>
      <c r="J35" s="520">
        <v>39</v>
      </c>
      <c r="K35" s="521">
        <v>5541</v>
      </c>
      <c r="L35" s="520">
        <v>112</v>
      </c>
      <c r="M35" s="520">
        <v>24</v>
      </c>
      <c r="N35" s="520">
        <v>109</v>
      </c>
      <c r="O35" s="520">
        <v>133</v>
      </c>
      <c r="P35" s="520">
        <v>19</v>
      </c>
      <c r="Q35" s="520">
        <v>2</v>
      </c>
      <c r="R35" s="520">
        <v>4</v>
      </c>
      <c r="S35" s="520">
        <v>6</v>
      </c>
      <c r="T35" s="520">
        <v>223</v>
      </c>
      <c r="U35" s="522">
        <v>12924</v>
      </c>
    </row>
  </sheetData>
  <mergeCells count="2">
    <mergeCell ref="A1:B1"/>
    <mergeCell ref="A35:C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9</vt:i4>
      </vt:variant>
    </vt:vector>
  </HeadingPairs>
  <TitlesOfParts>
    <vt:vector size="17" baseType="lpstr">
      <vt:lpstr>Aytos_1996</vt:lpstr>
      <vt:lpstr>Aytos_2000</vt:lpstr>
      <vt:lpstr>Aytos_2003</vt:lpstr>
      <vt:lpstr>Aytos_2006</vt:lpstr>
      <vt:lpstr>Aytos_2009</vt:lpstr>
      <vt:lpstr>Aytos_2012</vt:lpstr>
      <vt:lpstr>Aytos_2015</vt:lpstr>
      <vt:lpstr>ExtraChiautla_2016</vt:lpstr>
      <vt:lpstr>Aytos_2003!Área_de_impresión</vt:lpstr>
      <vt:lpstr>Aytos_2006!Área_de_impresión</vt:lpstr>
      <vt:lpstr>Aytos_2009!Área_de_impresión</vt:lpstr>
      <vt:lpstr>Aytos_1996!TABLE</vt:lpstr>
      <vt:lpstr>Aytos_1996!Títulos_a_imprimir</vt:lpstr>
      <vt:lpstr>Aytos_2000!Títulos_a_imprimir</vt:lpstr>
      <vt:lpstr>Aytos_2003!Títulos_a_imprimir</vt:lpstr>
      <vt:lpstr>Aytos_2006!Títulos_a_imprimir</vt:lpstr>
      <vt:lpstr>Aytos_2009!Títulos_a_imprimir</vt:lpstr>
    </vt:vector>
  </TitlesOfParts>
  <Company>IEEM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IEEM</cp:lastModifiedBy>
  <dcterms:created xsi:type="dcterms:W3CDTF">2006-10-05T16:09:55Z</dcterms:created>
  <dcterms:modified xsi:type="dcterms:W3CDTF">2016-12-21T17:59:26Z</dcterms:modified>
</cp:coreProperties>
</file>