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6216" windowWidth="15576" windowHeight="5796" activeTab="1"/>
  </bookViews>
  <sheets>
    <sheet name="Formato" sheetId="1" r:id="rId1"/>
    <sheet name="Base" sheetId="2" r:id="rId2"/>
    <sheet name="Hoja4" sheetId="6" r:id="rId3"/>
  </sheets>
  <definedNames>
    <definedName name="_xlnm._FilterDatabase" localSheetId="2" hidden="1">Hoja4!$A$1:$L$33</definedName>
  </definedNames>
  <calcPr calcId="145621"/>
</workbook>
</file>

<file path=xl/calcChain.xml><?xml version="1.0" encoding="utf-8"?>
<calcChain xmlns="http://schemas.openxmlformats.org/spreadsheetml/2006/main">
  <c r="N311" i="1" l="1"/>
  <c r="N310" i="1"/>
  <c r="J322" i="1"/>
  <c r="K322" i="1"/>
  <c r="L322" i="1"/>
  <c r="M322" i="1"/>
  <c r="O322" i="1"/>
  <c r="I322" i="1"/>
  <c r="N300" i="1"/>
  <c r="N301" i="1"/>
  <c r="N302" i="1"/>
  <c r="N303" i="1"/>
  <c r="N304" i="1"/>
  <c r="N305" i="1"/>
  <c r="N299" i="1"/>
  <c r="N307" i="1" s="1"/>
  <c r="J307" i="1"/>
  <c r="K307" i="1"/>
  <c r="L307" i="1"/>
  <c r="M307" i="1"/>
  <c r="O307" i="1"/>
  <c r="I307" i="1"/>
  <c r="L279" i="1"/>
  <c r="M279" i="1"/>
  <c r="N279" i="1"/>
  <c r="K279" i="1"/>
  <c r="N277" i="1"/>
  <c r="L268" i="1"/>
  <c r="M268" i="1"/>
  <c r="N268" i="1"/>
  <c r="N262" i="1"/>
  <c r="N261" i="1"/>
  <c r="N248" i="1"/>
  <c r="L233" i="1"/>
  <c r="C203" i="1"/>
  <c r="C349" i="1"/>
  <c r="N322" i="1" l="1"/>
  <c r="F32" i="6" l="1"/>
  <c r="I32" i="6"/>
  <c r="E32" i="6"/>
  <c r="K33" i="6" l="1"/>
  <c r="L32" i="6"/>
  <c r="K32" i="6"/>
  <c r="J32" i="6"/>
  <c r="H32" i="6"/>
  <c r="G32" i="6"/>
  <c r="E33" i="6"/>
  <c r="D32" i="6"/>
  <c r="H33" i="6" l="1"/>
  <c r="K537" i="1"/>
  <c r="L537" i="1"/>
  <c r="N582" i="1" l="1"/>
  <c r="M582" i="1"/>
  <c r="K582" i="1"/>
  <c r="C581" i="1"/>
  <c r="J576" i="1"/>
  <c r="J572" i="1"/>
  <c r="J568" i="1"/>
  <c r="N542" i="1" l="1"/>
  <c r="L542" i="1"/>
  <c r="K542" i="1"/>
  <c r="N541" i="1"/>
  <c r="L541" i="1"/>
  <c r="K541" i="1"/>
  <c r="N540" i="1"/>
  <c r="L540" i="1"/>
  <c r="K540" i="1"/>
  <c r="N539" i="1"/>
  <c r="L539" i="1"/>
  <c r="K539" i="1"/>
  <c r="N538" i="1"/>
  <c r="L538" i="1"/>
  <c r="K538" i="1"/>
  <c r="N537" i="1"/>
  <c r="N532" i="1"/>
  <c r="L532" i="1"/>
  <c r="K532" i="1"/>
  <c r="N531" i="1"/>
  <c r="N530" i="1"/>
  <c r="L531" i="1"/>
  <c r="K531" i="1"/>
  <c r="M537" i="1" l="1"/>
  <c r="N544" i="1"/>
  <c r="L544" i="1"/>
  <c r="K544" i="1"/>
  <c r="N534" i="1"/>
  <c r="M544" i="1" l="1"/>
  <c r="M532" i="1"/>
  <c r="M531" i="1"/>
  <c r="L530" i="1"/>
  <c r="L534" i="1" s="1"/>
  <c r="K530" i="1"/>
  <c r="K534" i="1" s="1"/>
  <c r="N525" i="1"/>
  <c r="L525" i="1"/>
  <c r="K525" i="1"/>
  <c r="N524" i="1"/>
  <c r="L524" i="1"/>
  <c r="K524" i="1"/>
  <c r="N523" i="1"/>
  <c r="L523" i="1"/>
  <c r="K523" i="1"/>
  <c r="N494" i="1"/>
  <c r="M494" i="1"/>
  <c r="L494" i="1"/>
  <c r="K494" i="1"/>
  <c r="J494" i="1"/>
  <c r="I494" i="1"/>
  <c r="N493" i="1"/>
  <c r="M493" i="1"/>
  <c r="L493" i="1"/>
  <c r="K493" i="1"/>
  <c r="J493" i="1"/>
  <c r="I493" i="1"/>
  <c r="N492" i="1"/>
  <c r="M492" i="1"/>
  <c r="N491" i="1"/>
  <c r="L492" i="1"/>
  <c r="K492" i="1"/>
  <c r="J492" i="1"/>
  <c r="I492" i="1"/>
  <c r="M491" i="1"/>
  <c r="L491" i="1"/>
  <c r="K491" i="1"/>
  <c r="J491" i="1"/>
  <c r="I491" i="1"/>
  <c r="N490" i="1"/>
  <c r="M490" i="1"/>
  <c r="L490" i="1"/>
  <c r="K490" i="1"/>
  <c r="J490" i="1"/>
  <c r="I490" i="1"/>
  <c r="M472" i="1"/>
  <c r="M471" i="1"/>
  <c r="M470" i="1"/>
  <c r="K472" i="1"/>
  <c r="K471" i="1"/>
  <c r="K470" i="1"/>
  <c r="M463" i="1"/>
  <c r="M462" i="1"/>
  <c r="M461" i="1"/>
  <c r="K463" i="1"/>
  <c r="K462" i="1"/>
  <c r="K461" i="1"/>
  <c r="N454" i="1"/>
  <c r="L454" i="1"/>
  <c r="K454" i="1"/>
  <c r="N453" i="1"/>
  <c r="L453" i="1"/>
  <c r="K453" i="1"/>
  <c r="N452" i="1"/>
  <c r="L452" i="1"/>
  <c r="K452" i="1"/>
  <c r="N451" i="1"/>
  <c r="L451" i="1"/>
  <c r="K451" i="1"/>
  <c r="N447" i="1"/>
  <c r="L447" i="1"/>
  <c r="K447" i="1"/>
  <c r="N446" i="1"/>
  <c r="L446" i="1"/>
  <c r="K446" i="1"/>
  <c r="N445" i="1"/>
  <c r="L445" i="1"/>
  <c r="K445" i="1"/>
  <c r="N444" i="1"/>
  <c r="L444" i="1"/>
  <c r="K444" i="1"/>
  <c r="J427" i="1"/>
  <c r="J425" i="1"/>
  <c r="J424" i="1"/>
  <c r="J423" i="1"/>
  <c r="J422" i="1"/>
  <c r="J421" i="1"/>
  <c r="J420" i="1"/>
  <c r="N411" i="1"/>
  <c r="L411" i="1"/>
  <c r="K411" i="1"/>
  <c r="J411" i="1"/>
  <c r="N410" i="1"/>
  <c r="L410" i="1"/>
  <c r="K410" i="1"/>
  <c r="J410" i="1"/>
  <c r="N409" i="1"/>
  <c r="L409" i="1"/>
  <c r="K409" i="1"/>
  <c r="J409" i="1"/>
  <c r="N408" i="1"/>
  <c r="L408" i="1"/>
  <c r="K408" i="1"/>
  <c r="J408" i="1"/>
  <c r="N407" i="1"/>
  <c r="N413" i="1" s="1"/>
  <c r="L407" i="1"/>
  <c r="L413" i="1" s="1"/>
  <c r="K407" i="1"/>
  <c r="J407" i="1"/>
  <c r="L375" i="1"/>
  <c r="L374" i="1"/>
  <c r="L373" i="1"/>
  <c r="L372" i="1"/>
  <c r="L371" i="1"/>
  <c r="L370" i="1"/>
  <c r="E338" i="1"/>
  <c r="E191" i="1"/>
  <c r="L164" i="1"/>
  <c r="L163" i="1"/>
  <c r="L162" i="1"/>
  <c r="L161" i="1"/>
  <c r="L160" i="1"/>
  <c r="L154" i="1"/>
  <c r="L153" i="1"/>
  <c r="L152" i="1"/>
  <c r="L151" i="1"/>
  <c r="J413" i="1" l="1"/>
  <c r="M407" i="1"/>
  <c r="K449" i="1"/>
  <c r="N449" i="1"/>
  <c r="M451" i="1"/>
  <c r="K465" i="1"/>
  <c r="K474" i="1"/>
  <c r="O490" i="1"/>
  <c r="M523" i="1"/>
  <c r="M525" i="1"/>
  <c r="L449" i="1"/>
  <c r="L377" i="1"/>
  <c r="J429" i="1"/>
  <c r="M445" i="1"/>
  <c r="M465" i="1"/>
  <c r="M474" i="1"/>
  <c r="M530" i="1"/>
  <c r="M534" i="1" s="1"/>
  <c r="K413" i="1"/>
  <c r="M444" i="1"/>
  <c r="N527" i="1"/>
  <c r="N520" i="1" s="1"/>
  <c r="L527" i="1"/>
  <c r="L520" i="1" s="1"/>
  <c r="K527" i="1"/>
  <c r="K520" i="1" s="1"/>
  <c r="O494" i="1"/>
  <c r="O493" i="1"/>
  <c r="N496" i="1"/>
  <c r="M496" i="1"/>
  <c r="L496" i="1"/>
  <c r="K496" i="1"/>
  <c r="J496" i="1"/>
  <c r="O492" i="1"/>
  <c r="I496" i="1"/>
  <c r="O491" i="1"/>
  <c r="M454" i="1"/>
  <c r="N456" i="1"/>
  <c r="L456" i="1"/>
  <c r="M453" i="1"/>
  <c r="M452" i="1"/>
  <c r="K456" i="1"/>
  <c r="M447" i="1"/>
  <c r="M446" i="1"/>
  <c r="M411" i="1"/>
  <c r="M410" i="1"/>
  <c r="M409" i="1"/>
  <c r="M408" i="1"/>
  <c r="L59" i="1"/>
  <c r="F59" i="1"/>
  <c r="E58" i="1"/>
  <c r="N57" i="1"/>
  <c r="K57" i="1"/>
  <c r="H57" i="1"/>
  <c r="D57" i="1"/>
  <c r="E55" i="1"/>
  <c r="E54" i="1"/>
  <c r="E53" i="1"/>
  <c r="N52" i="1"/>
  <c r="E52" i="1"/>
  <c r="E50" i="1"/>
  <c r="E49" i="1"/>
  <c r="E48" i="1"/>
  <c r="K47" i="1"/>
  <c r="E47" i="1"/>
  <c r="E46" i="1"/>
  <c r="E45" i="1"/>
  <c r="M527" i="1" l="1"/>
  <c r="M520" i="1" s="1"/>
  <c r="M413" i="1"/>
  <c r="E195" i="1"/>
  <c r="E341" i="1"/>
  <c r="M456" i="1"/>
  <c r="M449" i="1"/>
  <c r="O496" i="1"/>
  <c r="M121" i="1"/>
  <c r="M119" i="1"/>
  <c r="N100" i="1"/>
  <c r="E61" i="1"/>
  <c r="L137" i="1"/>
  <c r="O121" i="1"/>
  <c r="O119" i="1"/>
  <c r="O117" i="1"/>
  <c r="L100" i="1"/>
  <c r="M61" i="1"/>
  <c r="L138" i="1"/>
  <c r="M117" i="1"/>
  <c r="L136" i="1"/>
  <c r="O120" i="1"/>
  <c r="O116" i="1"/>
  <c r="L99" i="1"/>
  <c r="L139" i="1"/>
  <c r="L135" i="1"/>
  <c r="M120" i="1"/>
  <c r="M118" i="1"/>
  <c r="M116" i="1"/>
  <c r="N99" i="1"/>
  <c r="G60" i="1"/>
  <c r="O118" i="1"/>
  <c r="K81" i="1"/>
  <c r="L117" i="1"/>
  <c r="N117" i="1" s="1"/>
  <c r="L120" i="1"/>
  <c r="L134" i="1"/>
  <c r="K100" i="1"/>
  <c r="N81" i="1"/>
  <c r="N84" i="1" s="1"/>
  <c r="L119" i="1"/>
  <c r="L116" i="1"/>
  <c r="O115" i="1"/>
  <c r="N98" i="1"/>
  <c r="K99" i="1"/>
  <c r="L121" i="1"/>
  <c r="L118" i="1"/>
  <c r="M115" i="1"/>
  <c r="L98" i="1"/>
  <c r="L115" i="1"/>
  <c r="K98" i="1"/>
  <c r="N119" i="1" l="1"/>
  <c r="K102" i="1"/>
  <c r="N118" i="1"/>
  <c r="M99" i="1"/>
  <c r="N102" i="1"/>
  <c r="L156" i="1"/>
  <c r="M98" i="1"/>
  <c r="L124" i="1"/>
  <c r="M124" i="1"/>
  <c r="N121" i="1"/>
  <c r="O124" i="1"/>
  <c r="L141" i="1"/>
  <c r="L166" i="1"/>
  <c r="L102" i="1"/>
  <c r="N116" i="1"/>
  <c r="M100" i="1"/>
  <c r="N120" i="1"/>
  <c r="N115" i="1"/>
  <c r="M128" i="1" l="1"/>
  <c r="O128" i="1"/>
  <c r="L128" i="1"/>
  <c r="M102" i="1"/>
  <c r="N124" i="1"/>
  <c r="N128" i="1" l="1"/>
</calcChain>
</file>

<file path=xl/sharedStrings.xml><?xml version="1.0" encoding="utf-8"?>
<sst xmlns="http://schemas.openxmlformats.org/spreadsheetml/2006/main" count="817" uniqueCount="392">
  <si>
    <t>Módulo de Docencia</t>
  </si>
  <si>
    <t>Identificación de la Institución</t>
  </si>
  <si>
    <t>Clave de la Institución</t>
  </si>
  <si>
    <t>Código Postal</t>
  </si>
  <si>
    <t>Teléfono</t>
  </si>
  <si>
    <t>Extensión</t>
  </si>
  <si>
    <t>Fax</t>
  </si>
  <si>
    <t>I.   Facultades,   Escuelas,   Centros, Divisiones o Departamentos y Alumnos</t>
  </si>
  <si>
    <t>Nivel</t>
  </si>
  <si>
    <t>Total</t>
  </si>
  <si>
    <t>Modalidad Escolar</t>
  </si>
  <si>
    <t>Facultades, Escuelas, Centros, Divisiones o Departamentos</t>
  </si>
  <si>
    <t>Alumnos</t>
  </si>
  <si>
    <t>Posgrado</t>
  </si>
  <si>
    <t>II. Personal en Áreas Centrales</t>
  </si>
  <si>
    <t>Nota:</t>
  </si>
  <si>
    <t>Si una persona desempeña dos o más funciones, anótela en la que dedique más tiempo.</t>
  </si>
  <si>
    <t>Total de personal</t>
  </si>
  <si>
    <t>Hombres</t>
  </si>
  <si>
    <t>Mujeres</t>
  </si>
  <si>
    <t>* Incluye técnico superior universitario y profesional asociado.</t>
  </si>
  <si>
    <t>I I I .   P e r s o n a l   d e   F a c u l t a d e s , Escuelas, Centros, Divisiones o Departamentos</t>
  </si>
  <si>
    <t>a) Si una persona desempeña dos o más funciones, anótela en la que dedique más tiempo.</t>
  </si>
  <si>
    <t>Directivo</t>
  </si>
  <si>
    <t>Auxiliar de Investigador</t>
  </si>
  <si>
    <t>Administrativo</t>
  </si>
  <si>
    <t>Otros</t>
  </si>
  <si>
    <t>Tipo de intercambio</t>
  </si>
  <si>
    <t>Docentes e Investigadores</t>
  </si>
  <si>
    <t>Docencia</t>
  </si>
  <si>
    <t>Estancias Sabáticas</t>
  </si>
  <si>
    <t>Estancias de Investigación</t>
  </si>
  <si>
    <t>Asistencia a Congreso o Eventos Académicos</t>
  </si>
  <si>
    <t>Seminarios de Proyectos Conjuntos</t>
  </si>
  <si>
    <t>Estancias Tutoriales y Exámenes de Posgrado</t>
  </si>
  <si>
    <t>IV. Finanzas</t>
  </si>
  <si>
    <t>Ingresos</t>
  </si>
  <si>
    <t>Gastos</t>
  </si>
  <si>
    <t>Módulo de Investigación</t>
  </si>
  <si>
    <t>Nombre y firma del responsable del llenado</t>
  </si>
  <si>
    <t>Fecha de llenado</t>
  </si>
  <si>
    <t>Año</t>
  </si>
  <si>
    <t>Mes</t>
  </si>
  <si>
    <t>Día</t>
  </si>
  <si>
    <t>I. Institutos, Centros, Divisiones o Áreas de investigación</t>
  </si>
  <si>
    <t>Total de Institutos, Centros, Divisiones o Áreas de Investigación</t>
  </si>
  <si>
    <t>II. Proyectos de Investigación por Tipo y Área de Estudio</t>
  </si>
  <si>
    <t>Tipo</t>
  </si>
  <si>
    <t>Proyectos</t>
  </si>
  <si>
    <t>En proceso</t>
  </si>
  <si>
    <t>En proceso con colaboración extranjera</t>
  </si>
  <si>
    <t>Área</t>
  </si>
  <si>
    <t>Educación</t>
  </si>
  <si>
    <t>Artes y Humanidades</t>
  </si>
  <si>
    <t>Salud</t>
  </si>
  <si>
    <t>Servicios</t>
  </si>
  <si>
    <t>Docente-Investigador y Docente-Auxiliar de Investigador</t>
  </si>
  <si>
    <t>Investigador</t>
  </si>
  <si>
    <t>Total de personal de los institutos, centros, divisiones o áreas de investigación</t>
  </si>
  <si>
    <t>IV. Investigadores</t>
  </si>
  <si>
    <t>Personal por función</t>
  </si>
  <si>
    <t>Total de Personal</t>
  </si>
  <si>
    <t>Tiempo Completo</t>
  </si>
  <si>
    <t>Medio Tiempo</t>
  </si>
  <si>
    <t>Por Horas</t>
  </si>
  <si>
    <t>Nivel de Estudios</t>
  </si>
  <si>
    <t>Técnico Superior*</t>
  </si>
  <si>
    <t>Antigüedad</t>
  </si>
  <si>
    <t>De 0 a 4 años</t>
  </si>
  <si>
    <t>De 5 a 9 años</t>
  </si>
  <si>
    <t>De 30 años o más</t>
  </si>
  <si>
    <t>Grupos de Edad</t>
  </si>
  <si>
    <t>De 65 años o más</t>
  </si>
  <si>
    <t>I. Eventos</t>
  </si>
  <si>
    <t>Tipos</t>
  </si>
  <si>
    <t>1. Conferencias</t>
  </si>
  <si>
    <t>2. Exhibiciones</t>
  </si>
  <si>
    <t>3. Exposiciones</t>
  </si>
  <si>
    <t>4. Talleres</t>
  </si>
  <si>
    <t>5. Eventos Culturales y Artísticos</t>
  </si>
  <si>
    <t>6. Eventos Deportivos</t>
  </si>
  <si>
    <t>Eventos</t>
  </si>
  <si>
    <t>II. Obra Editorial</t>
  </si>
  <si>
    <t>Publicaciones</t>
  </si>
  <si>
    <t>Electrónicas o Digitales</t>
  </si>
  <si>
    <t>Otras</t>
  </si>
  <si>
    <t>Títulos</t>
  </si>
  <si>
    <t>Co-ediciones internacionales</t>
  </si>
  <si>
    <t>III. Cursos Extracurriculares</t>
  </si>
  <si>
    <t>Número</t>
  </si>
  <si>
    <t>IV. Servicios a la Comunidad</t>
  </si>
  <si>
    <t>Total de Consultas y Asesorías</t>
  </si>
  <si>
    <t>Especifique:</t>
  </si>
  <si>
    <t>V. Servicio Social, Prácticas Profesionales e intercambio académico</t>
  </si>
  <si>
    <t>Sector</t>
  </si>
  <si>
    <t>Privado</t>
  </si>
  <si>
    <t>Social</t>
  </si>
  <si>
    <t>Al extranjero</t>
  </si>
  <si>
    <t>3. Escriba el número de alumnos de la institución, que realizaron algún tipo de intercambio con valor curricular al extranjero o a otras instituciones del país.</t>
  </si>
  <si>
    <t>Tipo de Intercambio</t>
  </si>
  <si>
    <t>Del extranjero</t>
  </si>
  <si>
    <t>4. Escriba el número de alumnos que vinieron del extranjero o de otras instituciones del país, a realizar algún tipo de intercambio con valor curricular, en la institución .</t>
  </si>
  <si>
    <t>VI. Proyectos de vinculación con las empresas</t>
  </si>
  <si>
    <t>Proyectos de vinculación</t>
  </si>
  <si>
    <t>Prácticas</t>
  </si>
  <si>
    <t>Otro</t>
  </si>
  <si>
    <t>VII. Personal</t>
  </si>
  <si>
    <t>En posgrado incluye estudios de especialidad, maestría y doctorado.</t>
  </si>
  <si>
    <t>Sello</t>
  </si>
  <si>
    <t>Identificación de la Escuela</t>
  </si>
  <si>
    <r>
      <t>Vialidad Principal</t>
    </r>
    <r>
      <rPr>
        <u/>
        <sz val="10"/>
        <color theme="1"/>
        <rFont val="Times New Roman"/>
        <family val="1"/>
      </rPr>
      <t/>
    </r>
  </si>
  <si>
    <t>Número Exterior</t>
  </si>
  <si>
    <t>Número Interior</t>
  </si>
  <si>
    <t>Vialidad Derecha</t>
  </si>
  <si>
    <t>Vialidad Izquierda</t>
  </si>
  <si>
    <t>Asentamiento Humano</t>
  </si>
  <si>
    <t>Los cuestionarios impresos son apoyos para contestar el cuestionario electrónico, o bien, para que los utilicen las instituciones que manifiestan estar en la imposibilidad de contestar el cuestionario electrónico.</t>
  </si>
  <si>
    <t xml:space="preserve">Técnico Superior* </t>
  </si>
  <si>
    <t>Licencia Profesional</t>
  </si>
  <si>
    <t>Licenciatura</t>
  </si>
  <si>
    <t>Con Discapacidad</t>
  </si>
  <si>
    <t>b) El personal reportado en este apartado corresponde a la suma del personal registrado en los cuestionarios 911.9 de facultades, escuelas, centros o departamentos.</t>
  </si>
  <si>
    <t>Subsidio Federal</t>
  </si>
  <si>
    <t>Subsidio Estatal</t>
  </si>
  <si>
    <t>Ingresos Propios</t>
  </si>
  <si>
    <t>Investigación</t>
  </si>
  <si>
    <t>Administración</t>
  </si>
  <si>
    <t>Terminados en el ciclo anterior</t>
  </si>
  <si>
    <t>Desarrollo Experimental</t>
  </si>
  <si>
    <t>Investigación Aplicada</t>
  </si>
  <si>
    <t>Investigación Básica</t>
  </si>
  <si>
    <t>Ciencias Sociales, Administración y Derecho</t>
  </si>
  <si>
    <t>Ciencias Naturales, Exactas y de la Computación</t>
  </si>
  <si>
    <t>Ingeniería, Manufactura y Construcción</t>
  </si>
  <si>
    <t>Agronomía y Veterinaria</t>
  </si>
  <si>
    <t>Tiempo de Dedicación</t>
  </si>
  <si>
    <t>Docente Investigador</t>
  </si>
  <si>
    <t xml:space="preserve">Doctorado Maestría </t>
  </si>
  <si>
    <t>Especialidad</t>
  </si>
  <si>
    <t>De 10 a 14 años</t>
  </si>
  <si>
    <t>De 15 a 19 años</t>
  </si>
  <si>
    <t>De 20 a 24 años</t>
  </si>
  <si>
    <t>De 25 a 29 años</t>
  </si>
  <si>
    <t>Menos de 20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</si>
  <si>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</si>
  <si>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</si>
  <si>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</si>
  <si>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</si>
  <si>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</si>
  <si>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</si>
  <si>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64años</t>
  </si>
  <si>
    <t>Los cuestionarios impresos son apoyos para contestar el cuestionario electrónico, o bien, para que los utilicen las instituciones que manifiestan estar en la contestar el cuestionario electrónico.</t>
  </si>
  <si>
    <t>Módulo de Extención y Difusión</t>
  </si>
  <si>
    <t>Libros</t>
  </si>
  <si>
    <t>Revistas</t>
  </si>
  <si>
    <t>Boletines</t>
  </si>
  <si>
    <t>Diplomados</t>
  </si>
  <si>
    <t>Cursos Cortos</t>
  </si>
  <si>
    <t>Talleres</t>
  </si>
  <si>
    <t>Seminarios</t>
  </si>
  <si>
    <t>Jurídica</t>
  </si>
  <si>
    <t>Vivienda</t>
  </si>
  <si>
    <t>Ecología</t>
  </si>
  <si>
    <t>Público</t>
  </si>
  <si>
    <t>Educativo (Propia Institución)</t>
  </si>
  <si>
    <t>Cursos</t>
  </si>
  <si>
    <t>Estancias</t>
  </si>
  <si>
    <t>De otras Instituciones del país</t>
  </si>
  <si>
    <t>A otras Instituciones del país</t>
  </si>
  <si>
    <t>Sector Público</t>
  </si>
  <si>
    <t>Microempresas</t>
  </si>
  <si>
    <t>Pequeñas empresas</t>
  </si>
  <si>
    <t>Medianas empresas</t>
  </si>
  <si>
    <t>Grandes empresas</t>
  </si>
  <si>
    <t>Investigación y Desarrollo</t>
  </si>
  <si>
    <t>Asesoría Técnica</t>
  </si>
  <si>
    <t>Prácticas Profesionales</t>
  </si>
  <si>
    <t>Educación Continua</t>
  </si>
  <si>
    <t>Servicio Social</t>
  </si>
  <si>
    <t xml:space="preserve">Posgrado </t>
  </si>
  <si>
    <t>De 25 años o más</t>
  </si>
  <si>
    <t>Vialidad Principal</t>
  </si>
  <si>
    <t>Vialidad Posterior</t>
  </si>
  <si>
    <t>Localidad</t>
  </si>
  <si>
    <t>Municipio o Delegación</t>
  </si>
  <si>
    <t>Entidad Federativa</t>
  </si>
  <si>
    <t>Extensión Teléfono</t>
  </si>
  <si>
    <t>Extensión Fax</t>
  </si>
  <si>
    <t>Dependencia Normativa</t>
  </si>
  <si>
    <t>Nombre de la Institución a la que pertenece</t>
  </si>
  <si>
    <t>Nombre del Director de la Escuela</t>
  </si>
  <si>
    <t>Página Web de la Escuela</t>
  </si>
  <si>
    <t>Correo Electronico Responsable llenado</t>
  </si>
  <si>
    <t>H</t>
  </si>
  <si>
    <t>M</t>
  </si>
  <si>
    <t>CD</t>
  </si>
  <si>
    <t>15MSU0945E</t>
  </si>
  <si>
    <t>UNIVERSIDAD MEXIQUENSE DEL BICENTENARIO</t>
  </si>
  <si>
    <t>www.umb.mx</t>
  </si>
  <si>
    <t xml:space="preserve"> </t>
  </si>
  <si>
    <t>MÉXICO</t>
  </si>
  <si>
    <t>Personal en Areas Centrales Directivo</t>
  </si>
  <si>
    <t>Personal en Areas Centrales Administrativo</t>
  </si>
  <si>
    <t>Personal en Areas Centrales Otros</t>
  </si>
  <si>
    <t>Personal en UA Directivo</t>
  </si>
  <si>
    <t>Personal en UA Docente</t>
  </si>
  <si>
    <t>Personal en UA Docente Investigador</t>
  </si>
  <si>
    <t>Personal en UA Investigador</t>
  </si>
  <si>
    <t>Personal en UA Auxiliar de Investigador</t>
  </si>
  <si>
    <t>Personal en UA Administrativo</t>
  </si>
  <si>
    <t>Personal en UA Otros</t>
  </si>
  <si>
    <t>Intercambio Docencia</t>
  </si>
  <si>
    <t>Intercambio Estancias Sabaticas</t>
  </si>
  <si>
    <t xml:space="preserve"> Intercambio Estancias de Invest.</t>
  </si>
  <si>
    <t>Intercambio Congresos o  Even Acad.</t>
  </si>
  <si>
    <t>Intercambio Seminarios de Proyectos Conjuntos</t>
  </si>
  <si>
    <t>Inter. Seminarios de Proyectos Conjuntos</t>
  </si>
  <si>
    <t>Inter. Est. Tutoriales y Exám. Posgrado</t>
  </si>
  <si>
    <t>Subsidio estatal</t>
  </si>
  <si>
    <t>Egresos</t>
  </si>
  <si>
    <t>Servicio</t>
  </si>
  <si>
    <t>Sostenimiento</t>
  </si>
  <si>
    <t>Nombre del Rector o Director de la Institución</t>
  </si>
  <si>
    <t xml:space="preserve">Página web de la Institución: </t>
  </si>
  <si>
    <t>Correo Electrónico del Responsable de llenado:</t>
  </si>
  <si>
    <t>Nombre de la Institución</t>
  </si>
  <si>
    <t>CARR. MEXICO TOLUCA</t>
  </si>
  <si>
    <t xml:space="preserve">SAN MIGUEL </t>
  </si>
  <si>
    <t>OCOYOACAC</t>
  </si>
  <si>
    <t>SECRETARIA DE EDUCACIÓN</t>
  </si>
  <si>
    <t>SERVICIO</t>
  </si>
  <si>
    <t>SOSTENIMIENTO</t>
  </si>
  <si>
    <t>JUAN DE DIOS PEZA</t>
  </si>
  <si>
    <t>EDUCACIÓN SUPERIOR</t>
  </si>
  <si>
    <t>Conferencias</t>
  </si>
  <si>
    <t>Exhibiciones</t>
  </si>
  <si>
    <t>Exposiciones</t>
  </si>
  <si>
    <t>Eventos Culturales y Artísticos</t>
  </si>
  <si>
    <t>Eventos Deportivos</t>
  </si>
  <si>
    <t>Servicios a la Comunidad</t>
  </si>
  <si>
    <t>Especifique</t>
  </si>
  <si>
    <t>Servicio Social Educativo</t>
  </si>
  <si>
    <t>Servicio Social Público</t>
  </si>
  <si>
    <t>Servicio Social Privado</t>
  </si>
  <si>
    <t>Servicio Social social</t>
  </si>
  <si>
    <t>Prácticas Social Educativo</t>
  </si>
  <si>
    <t>Prácticas  Público</t>
  </si>
  <si>
    <t>Prácticas Social Privado</t>
  </si>
  <si>
    <t>Prácticas Social</t>
  </si>
  <si>
    <t>Intercambio Extranjero</t>
  </si>
  <si>
    <t>Intercambio otras instituciones del país</t>
  </si>
  <si>
    <t>Intercambio del Extranjero</t>
  </si>
  <si>
    <t>Intercambio de otras instituciones del país</t>
  </si>
  <si>
    <t>BARRIO</t>
  </si>
  <si>
    <t>Investigación y desarrollo</t>
  </si>
  <si>
    <t>Proyectos de vinculación (Sector Público)</t>
  </si>
  <si>
    <t>Proyectos de vinculación (Microempresas)</t>
  </si>
  <si>
    <t>Proyectos de vinculación (Pequeñas empresas)</t>
  </si>
  <si>
    <t>Proyectos de vinculación (Medianas empresas)</t>
  </si>
  <si>
    <t>Proyectos de vinculación (Grandes empresas)</t>
  </si>
  <si>
    <t>Personal dedicados a las actividades de extensión</t>
  </si>
  <si>
    <t>Tiempo Completo H</t>
  </si>
  <si>
    <t>Tiempo Completo M</t>
  </si>
  <si>
    <t>Tiempo Completo CD</t>
  </si>
  <si>
    <t>Medio Tiempo H</t>
  </si>
  <si>
    <t>Medio Tiempo M</t>
  </si>
  <si>
    <t>Medio Tiempo CD</t>
  </si>
  <si>
    <t>Por Horas H</t>
  </si>
  <si>
    <t>Por Horas M</t>
  </si>
  <si>
    <t>Por Horas CD</t>
  </si>
  <si>
    <t>NE Posgrado H</t>
  </si>
  <si>
    <t>NE Posgrado M</t>
  </si>
  <si>
    <t>NE Posgrado CD</t>
  </si>
  <si>
    <t>NE Licenciatura H</t>
  </si>
  <si>
    <t>NE Licenciatura M</t>
  </si>
  <si>
    <t>NE Licenciatura CD</t>
  </si>
  <si>
    <t>NE Otros H</t>
  </si>
  <si>
    <t>NE Otros M</t>
  </si>
  <si>
    <t>NE Otros CD</t>
  </si>
  <si>
    <t>Antiguedad de 0 a 4 años H</t>
  </si>
  <si>
    <t>Antiguedad de 0 a 4 años M</t>
  </si>
  <si>
    <t>Antiguedad de 0 a 4 años CD</t>
  </si>
  <si>
    <t>NINGUNO</t>
  </si>
  <si>
    <t>KM 43.5</t>
  </si>
  <si>
    <r>
      <t>Cuestionarios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Estadísticos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de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Educación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Superior</t>
    </r>
  </si>
  <si>
    <r>
      <t xml:space="preserve">Vialidad Posterior </t>
    </r>
    <r>
      <rPr>
        <u/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</si>
  <si>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Localidad </t>
    </r>
    <r>
      <rPr>
        <u/>
        <sz val="10"/>
        <color theme="1"/>
        <rFont val="Arial"/>
        <family val="2"/>
      </rPr>
      <t xml:space="preserve"> </t>
    </r>
  </si>
  <si>
    <r>
      <t xml:space="preserve">Municipio o Delegación </t>
    </r>
    <r>
      <rPr>
        <u/>
        <sz val="10"/>
        <color theme="1"/>
        <rFont val="Arial"/>
        <family val="2"/>
      </rPr>
      <t xml:space="preserve"> </t>
    </r>
  </si>
  <si>
    <r>
      <t xml:space="preserve">Entidad Federativa </t>
    </r>
    <r>
      <rPr>
        <u/>
        <sz val="10"/>
        <color theme="1"/>
        <rFont val="Arial"/>
        <family val="2"/>
      </rPr>
      <t xml:space="preserve"> </t>
    </r>
  </si>
  <si>
    <r>
      <t xml:space="preserve">Dependencia Normativa </t>
    </r>
    <r>
      <rPr>
        <u/>
        <sz val="10"/>
        <color theme="1"/>
        <rFont val="Arial"/>
        <family val="2"/>
      </rPr>
      <t xml:space="preserve"> </t>
    </r>
  </si>
  <si>
    <r>
      <t xml:space="preserve">Importante: </t>
    </r>
    <r>
      <rPr>
        <sz val="10"/>
        <color theme="1"/>
        <rFont val="Arial"/>
        <family val="2"/>
      </rPr>
      <t>La información estadística es una herramienta fundamental para la planeación y la toma acertada de decisiones. Los cuestionarios 911 son los medios para recopilar la información básica de educación superior.</t>
    </r>
  </si>
  <si>
    <r>
      <t xml:space="preserve">1. </t>
    </r>
    <r>
      <rPr>
        <sz val="10"/>
        <color rgb="FF231F20"/>
        <rFont val="Arial"/>
        <family val="2"/>
      </rPr>
      <t>Escriba por modalidad el número de facultades, escuelas, centros, divisiones o departamentos que pertenecen a la institución, según el nivel educativo que corresponda, y el número de alumnos que tienen dichas facultades, escuelas, centros, divisiones o departamentos (no considere el número de carreras).</t>
    </r>
  </si>
  <si>
    <r>
      <t xml:space="preserve">1 . </t>
    </r>
    <r>
      <rPr>
        <sz val="10"/>
        <color rgb="FF231F20"/>
        <rFont val="Arial"/>
        <family val="2"/>
      </rPr>
      <t>Escriba,   de   acuerdo   con   la   función   que desempeña, el número de personas que laboran en las áreas centrales de la institución (rectoría, oficinas, administrativas, centrales, etcétera),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</si>
  <si>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Escriba, de acuerdo con la función que desempeña,   el número de personas que labora en las facultades, escuelas, centros, divisiones o departamentos, desglóselo por sexo e indique cuántos de ellos presentan discapacidad.</t>
    </r>
  </si>
  <si>
    <r>
      <t xml:space="preserve">Docente </t>
    </r>
    <r>
      <rPr>
        <b/>
        <sz val="10"/>
        <color theme="1"/>
        <rFont val="Arial"/>
        <family val="2"/>
      </rPr>
      <t>(No incluya al personal de investigación)</t>
    </r>
  </si>
  <si>
    <r>
      <t xml:space="preserve">Nombre de la Institución </t>
    </r>
    <r>
      <rPr>
        <u/>
        <sz val="12"/>
        <color theme="1"/>
        <rFont val="Arial"/>
        <family val="2"/>
      </rPr>
      <t xml:space="preserve"> </t>
    </r>
  </si>
  <si>
    <r>
      <t xml:space="preserve">1. </t>
    </r>
    <r>
      <rPr>
        <sz val="10"/>
        <color rgb="FF231F20"/>
        <rFont val="Arial"/>
        <family val="2"/>
      </rPr>
      <t>Escriba   la   cantidad   total   de   institutos,   centros, divisiones o áreas donde se realizan actividades de investigación.</t>
    </r>
  </si>
  <si>
    <r>
      <t xml:space="preserve">III. </t>
    </r>
    <r>
      <rPr>
        <b/>
        <sz val="12"/>
        <color rgb="FF231F20"/>
        <rFont val="Arial"/>
        <family val="2"/>
      </rPr>
      <t>Personal de los Institutos, Centros, Divisiones o Áreas de Investigación</t>
    </r>
  </si>
  <si>
    <r>
      <t xml:space="preserve">1. </t>
    </r>
    <r>
      <rPr>
        <sz val="10"/>
        <color rgb="FF231F20"/>
        <rFont val="Arial"/>
        <family val="2"/>
      </rPr>
      <t>Escriba,  de  acuerdo  con  la  función  que desempeñe,  el  número  de  personas  que laboran en los institutos, centros, divisiones o áreas de investigación, independientemente que se haya reportado en el módulo de docencia,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</si>
  <si>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número de investigadores, por tiempo de dedicación y nivel de estudios, desglóselo por sexo e indique cuántos de ellos presentan discapacidad.</t>
    </r>
  </si>
  <si>
    <r>
      <t>*</t>
    </r>
    <r>
      <rPr>
        <sz val="9"/>
        <color rgb="FF231F20"/>
        <rFont val="Arial"/>
        <family val="2"/>
      </rPr>
      <t>Incluye técnico superior universitario y profesional asociado.</t>
    </r>
  </si>
  <si>
    <r>
      <t xml:space="preserve">2. </t>
    </r>
    <r>
      <rPr>
        <sz val="10"/>
        <color rgb="FF231F20"/>
        <rFont val="Arial"/>
        <family val="2"/>
      </rPr>
      <t>Escriba el número de investigadores, por rango de antigüedad y grupos de edad,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</si>
  <si>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número de eventos que realizó la institución para la promoción de la ciencia, la tecnología, la cultura y las manifestaciones artísticas, según la siguiente tabla.</t>
    </r>
  </si>
  <si>
    <r>
      <t xml:space="preserve">1. </t>
    </r>
    <r>
      <rPr>
        <sz val="10"/>
        <color rgb="FF231F20"/>
        <rFont val="Arial"/>
        <family val="2"/>
      </rPr>
      <t>Escriba el número de títulos de las publicaciones para la divulgación de las ciencias y la tecnología, las artes y humanidades; y mencione cuántas de ellas son co-ediciones internacionales.</t>
    </r>
  </si>
  <si>
    <r>
      <t xml:space="preserve">1. </t>
    </r>
    <r>
      <rPr>
        <sz val="10"/>
        <color rgb="FF231F20"/>
        <rFont val="Arial"/>
        <family val="2"/>
      </rPr>
      <t>Escriba el número de cursos extracurriculares que se impartieron en la escuela y el número de alumnos que los cursaron, desglóselos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</si>
  <si>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total de consultas y asesorías por áreas de atención .</t>
    </r>
  </si>
  <si>
    <r>
      <t xml:space="preserve">1. </t>
    </r>
    <r>
      <rPr>
        <sz val="10"/>
        <color rgb="FF231F20"/>
        <rFont val="Arial"/>
        <family val="2"/>
      </rPr>
      <t>Escriba por sector el número de alumnos que realizaron el servicio social, desglóselo por sexo e indique cuántos de ellos presentan discapacidad.</t>
    </r>
  </si>
  <si>
    <r>
      <t xml:space="preserve">2. </t>
    </r>
    <r>
      <rPr>
        <sz val="10"/>
        <color rgb="FF231F20"/>
        <rFont val="Arial"/>
        <family val="2"/>
      </rPr>
      <t>Escriba por sector el número de alumnos que realizaron prácticas profesionales,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</si>
  <si>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Escriba, según su tipo, el número de proyectos de vinculación que tiene la institución con empresas.</t>
    </r>
  </si>
  <si>
    <r>
      <t xml:space="preserve">1. </t>
    </r>
    <r>
      <rPr>
        <sz val="10"/>
        <color rgb="FF231F20"/>
        <rFont val="Arial"/>
        <family val="2"/>
      </rPr>
      <t>Escriba el total de personal dedicado a las actividades de extensión, desglóselo por sexo e indique cuántos de ellos presentan discapacidad .</t>
    </r>
  </si>
  <si>
    <r>
      <t xml:space="preserve">2.  </t>
    </r>
    <r>
      <rPr>
        <sz val="10"/>
        <color rgb="FF231F20"/>
        <rFont val="Arial"/>
        <family val="2"/>
      </rPr>
      <t>Escriba el total de personal dedicado a las actividades de extensión por tiempo de dedicación y sexo e indique cuántos de ellos presentan discapacidad.</t>
    </r>
  </si>
  <si>
    <r>
      <t xml:space="preserve">3. </t>
    </r>
    <r>
      <rPr>
        <sz val="10"/>
        <color rgb="FF231F20"/>
        <rFont val="Arial"/>
        <family val="2"/>
      </rPr>
      <t>Escriba el total de personal dedicado a las actividades de extensión por nivel de estudios y sexo e indique cuántos de ellos presentan discapacidad.</t>
    </r>
  </si>
  <si>
    <r>
      <t xml:space="preserve">4.  </t>
    </r>
    <r>
      <rPr>
        <sz val="10"/>
        <color rgb="FF231F20"/>
        <rFont val="Arial"/>
        <family val="2"/>
      </rPr>
      <t>Escriba el total de personal dedicado a las actividades de extensión por antigüedad y sexo e indique cuántos de ellos presentan discapacidad.</t>
    </r>
  </si>
  <si>
    <r>
      <t xml:space="preserve">911.10 </t>
    </r>
    <r>
      <rPr>
        <b/>
        <sz val="10"/>
        <color theme="1"/>
        <rFont val="Arial"/>
        <family val="2"/>
      </rPr>
      <t>(Docencia)</t>
    </r>
  </si>
  <si>
    <t>Modalidad no escolarizada (sistema abierto)</t>
  </si>
  <si>
    <r>
      <t xml:space="preserve">Pág. </t>
    </r>
    <r>
      <rPr>
        <u/>
        <sz val="11"/>
        <color theme="1"/>
        <rFont val="Arial"/>
        <family val="2"/>
      </rPr>
      <t>02</t>
    </r>
  </si>
  <si>
    <t>04</t>
  </si>
  <si>
    <r>
      <rPr>
        <b/>
        <sz val="10"/>
        <color theme="1"/>
        <rFont val="Arial"/>
        <family val="2"/>
      </rPr>
      <t>Total de personal en las facultades, escuelas, centros, divisiones o departamentos.</t>
    </r>
    <r>
      <rPr>
        <sz val="10"/>
        <color theme="1"/>
        <rFont val="Arial"/>
        <family val="2"/>
      </rPr>
      <t xml:space="preserve"> </t>
    </r>
    <r>
      <rPr>
        <sz val="10"/>
        <color rgb="FF231F20"/>
        <rFont val="Arial"/>
        <family val="2"/>
      </rPr>
      <t>(Este dato debe ser igual a la suma del personal registrado en los cuestionarios 911.9 de facultades, escuelas, centros, divisiones o departamentos).</t>
    </r>
  </si>
  <si>
    <r>
      <rPr>
        <b/>
        <sz val="10"/>
        <color theme="1"/>
        <rFont val="Arial"/>
        <family val="2"/>
      </rPr>
      <t>Total de personal de la Institución.</t>
    </r>
    <r>
      <rPr>
        <sz val="10"/>
        <color theme="1"/>
        <rFont val="Arial"/>
        <family val="2"/>
      </rPr>
      <t xml:space="preserve"> </t>
    </r>
    <r>
      <rPr>
        <sz val="10"/>
        <color rgb="FF231F20"/>
        <rFont val="Arial"/>
        <family val="2"/>
      </rPr>
      <t>(Este dato debe ser igual a la suma del personal de las áreas centrales más el personal de las facultades, escuelas, centros, divisiones o departamentos).</t>
    </r>
  </si>
  <si>
    <r>
      <t xml:space="preserve">Pág. </t>
    </r>
    <r>
      <rPr>
        <u/>
        <sz val="11"/>
        <color theme="1"/>
        <rFont val="Arial"/>
        <family val="2"/>
      </rPr>
      <t>03</t>
    </r>
  </si>
  <si>
    <r>
      <t xml:space="preserve">Pág. </t>
    </r>
    <r>
      <rPr>
        <u/>
        <sz val="11"/>
        <color theme="1"/>
        <rFont val="Arial"/>
        <family val="2"/>
      </rPr>
      <t>04</t>
    </r>
  </si>
  <si>
    <r>
      <t>911.10</t>
    </r>
    <r>
      <rPr>
        <b/>
        <sz val="8"/>
        <color theme="1"/>
        <rFont val="Arial"/>
        <family val="2"/>
      </rPr>
      <t xml:space="preserve"> (Investigación)</t>
    </r>
  </si>
  <si>
    <r>
      <t>911.10</t>
    </r>
    <r>
      <rPr>
        <b/>
        <sz val="8"/>
        <color theme="1"/>
        <rFont val="Arial"/>
        <family val="2"/>
      </rPr>
      <t xml:space="preserve">                         (Extención y Difusión)</t>
    </r>
  </si>
  <si>
    <t>06</t>
  </si>
  <si>
    <r>
      <t xml:space="preserve">Pág. </t>
    </r>
    <r>
      <rPr>
        <u/>
        <sz val="11"/>
        <color theme="1"/>
        <rFont val="Arial"/>
        <family val="2"/>
      </rPr>
      <t>05</t>
    </r>
  </si>
  <si>
    <r>
      <t xml:space="preserve">Pág. </t>
    </r>
    <r>
      <rPr>
        <u/>
        <sz val="11"/>
        <color theme="1"/>
        <rFont val="Arial"/>
        <family val="2"/>
      </rPr>
      <t>06</t>
    </r>
  </si>
  <si>
    <r>
      <t xml:space="preserve">IMPORTANTE: </t>
    </r>
    <r>
      <rPr>
        <sz val="10"/>
        <color theme="1"/>
        <rFont val="Arial"/>
        <family val="2"/>
      </rPr>
      <t>Firme y selle esta hoja de oficialización.</t>
    </r>
  </si>
  <si>
    <t>Observaciones:</t>
  </si>
  <si>
    <t>911.10</t>
  </si>
  <si>
    <t>Puesto del responsable del llenado</t>
  </si>
  <si>
    <t>Correo electrónico del responsable del llenado</t>
  </si>
  <si>
    <t>Nombre responsable del llenado</t>
  </si>
  <si>
    <t>Correo electronico del responsable del llenado</t>
  </si>
  <si>
    <t>Nombre del ditector de la escuela</t>
  </si>
  <si>
    <t>planeacion.evaluacion@umb.mx</t>
  </si>
  <si>
    <t>LIC. JUAN JOSÉ OLIN FABELA</t>
  </si>
  <si>
    <t>JEFE DE LA UIPPE</t>
  </si>
  <si>
    <t>M. EN A. URIEL GALICIA HERNÁNDEZ</t>
  </si>
  <si>
    <t>Nombre y firma del director de la escuela</t>
  </si>
  <si>
    <t>Estadística de Educación Superior, por Institución</t>
  </si>
  <si>
    <t>Sólo Rectoría</t>
  </si>
  <si>
    <t>Suma de todas las UES</t>
  </si>
  <si>
    <t>Nombre de la Escuela</t>
  </si>
  <si>
    <t>UNIDAD DE ESTUDIOS SUPERIORES ACAMBAY</t>
  </si>
  <si>
    <t>UNIDAD DE ESTUDIOS SUPERIORES ALMOLOYA DE ALQUISIRAS</t>
  </si>
  <si>
    <t>UNIDAD DE ESTUDIOS SUPERIORES ATENCO</t>
  </si>
  <si>
    <t>UNIDAD DE ESTUDIOS SUPERIORES CHALCO</t>
  </si>
  <si>
    <t>UNIDAD DE ESTUDIOS SUPERIORES COATEPEC HARINAS</t>
  </si>
  <si>
    <t>UNIDAD DE ESTUDIOS SUPERIORES ECATEPEC</t>
  </si>
  <si>
    <t>UNIDAD DE ESTUDIOS SUPERIORES EL ORO</t>
  </si>
  <si>
    <t>UNIDAD DE ESTUDIOS SUPERIORES HUIXQUILUCAN</t>
  </si>
  <si>
    <t>UNIDAD DE ESTUDIOS SUPERIORES IXTAPALUCA</t>
  </si>
  <si>
    <t>UNIDAD DE ESTUDIOS SUPERIORES IXTLAHUACA</t>
  </si>
  <si>
    <t>UNIDAD DE ESTUDIOS SUPERIORES JILOTEPEC</t>
  </si>
  <si>
    <t>UNIDAD DE ESTUDIOS SUPERIORES JIQUIPILCO</t>
  </si>
  <si>
    <t>UNIDAD DE ESTUDIOS SUPERIORES LA PAZ</t>
  </si>
  <si>
    <t>UNIDAD DE ESTUDIOS SUPERIORES LERMA</t>
  </si>
  <si>
    <t>UNIDAD DE ESTUDIOS SUPERIORES MORELOS</t>
  </si>
  <si>
    <t>UNIDAD DE ESTUDIOS SUPERIORES SAN JOSE DEL RINCON</t>
  </si>
  <si>
    <t>UNIDAD DE ESTUDIOS SUPERIORES SULTEPEC</t>
  </si>
  <si>
    <t>UNIDAD DE ESTUDIOS SUPERIORES TECAMAC</t>
  </si>
  <si>
    <t>UNIDAD DE ESTUDIOS SUPERIORES TEJUPILCO</t>
  </si>
  <si>
    <t>UNIDAD DE ESTUDIOS SUPERIORES TEMASCALCINGO</t>
  </si>
  <si>
    <t>UNIDAD DE ESTUDIOS SUPERIORES TEMOAYA</t>
  </si>
  <si>
    <t>UNIDAD DE ESTUDIOS SUPERIORES TENANGO DEL VALLE</t>
  </si>
  <si>
    <t>UNIDAD DE ESTUDIOS SUPERIORES TEPOTZOTLAN</t>
  </si>
  <si>
    <t>UNIDAD DE ESTUDIOS SUPERIORES TLATLAYA</t>
  </si>
  <si>
    <t>UNIDAD DE ESTUDIOS SUPERIORES TULTEPEC</t>
  </si>
  <si>
    <t>UNIDAD DE ESTUDIOS SUPERIORES TULTITLAN</t>
  </si>
  <si>
    <t>UNIDAD DE ESTUDIOS SUPERIORES VILLA VICTORIA</t>
  </si>
  <si>
    <t>UNIDAD DE ESTUDIOS SUPERIORES VILLA DEL CARBÓN</t>
  </si>
  <si>
    <t>UNIDAD DE ESTUDIOS SUPERIORES XALATLACO</t>
  </si>
  <si>
    <t>Personal Directivo</t>
  </si>
  <si>
    <t>Región</t>
  </si>
  <si>
    <t>Norte</t>
  </si>
  <si>
    <t>Sur</t>
  </si>
  <si>
    <t>Oriente</t>
  </si>
  <si>
    <t>VM</t>
  </si>
  <si>
    <t>VT</t>
  </si>
  <si>
    <t>2014-2015</t>
  </si>
  <si>
    <t>Agosto, 2014</t>
  </si>
  <si>
    <t>Inicio de Cursos,  2014-2015</t>
  </si>
  <si>
    <t>FEDERAL Y ESTATAL</t>
  </si>
  <si>
    <t>Inicio de cursos, 2014-2015</t>
  </si>
  <si>
    <r>
      <t xml:space="preserve">2. Escriba, de acuerdo al tipo de intercambio, el número de docentes e investigadores extranjeros que realizaron algún tipo de estancia en la institución, durante el </t>
    </r>
    <r>
      <rPr>
        <b/>
        <sz val="10"/>
        <color rgb="FF231F20"/>
        <rFont val="Arial"/>
        <family val="2"/>
      </rPr>
      <t>ciclo escolar 2013-2014</t>
    </r>
    <r>
      <rPr>
        <sz val="10"/>
        <color rgb="FF231F20"/>
        <rFont val="Arial"/>
        <family val="2"/>
      </rPr>
      <t>.</t>
    </r>
  </si>
  <si>
    <r>
      <t xml:space="preserve">1. </t>
    </r>
    <r>
      <rPr>
        <sz val="10"/>
        <color rgb="FF231F20"/>
        <rFont val="Arial"/>
        <family val="2"/>
      </rPr>
      <t>Escriba el monto de los ingresos de la institución por fuentes de financiamiento (miles de pesos) en el 2013.</t>
    </r>
  </si>
  <si>
    <r>
      <t xml:space="preserve">2. </t>
    </r>
    <r>
      <rPr>
        <sz val="10"/>
        <color rgb="FF231F20"/>
        <rFont val="Arial"/>
        <family val="2"/>
      </rPr>
      <t>Escriba  el  gasto  de  la  institución  por función (miles de pesos) en el 2013.</t>
    </r>
  </si>
  <si>
    <r>
      <t xml:space="preserve">1. </t>
    </r>
    <r>
      <rPr>
        <sz val="10"/>
        <color rgb="FF231F20"/>
        <rFont val="Arial"/>
        <family val="2"/>
      </rPr>
      <t xml:space="preserve">Escriba  por  tipo  de  investigación  el  número  de proyectos realizados en el </t>
    </r>
    <r>
      <rPr>
        <b/>
        <sz val="10"/>
        <color rgb="FF231F20"/>
        <rFont val="Arial"/>
        <family val="2"/>
      </rPr>
      <t>ciclo escolar 2013-2014</t>
    </r>
    <r>
      <rPr>
        <sz val="10"/>
        <color rgb="FF231F20"/>
        <rFont val="Arial"/>
        <family val="2"/>
      </rPr>
      <t>, o que continúan en proceso; de los que continúan en proceso, mencione cuántos se realizan en colaboración con instituciones o académicos extranjeros.</t>
    </r>
  </si>
  <si>
    <r>
      <t xml:space="preserve">2. Escriba por área de estudio el número de proyectos realizados en el </t>
    </r>
    <r>
      <rPr>
        <b/>
        <sz val="10"/>
        <color rgb="FF231F20"/>
        <rFont val="Arial"/>
        <family val="2"/>
      </rPr>
      <t xml:space="preserve">ciclo escolar 2013-2014 </t>
    </r>
    <r>
      <rPr>
        <sz val="10"/>
        <color rgb="FF231F20"/>
        <rFont val="Arial"/>
        <family val="2"/>
      </rPr>
      <t>o que continúan en proceso.</t>
    </r>
  </si>
  <si>
    <t>La información de este módulo, corresponde al ciclo escolar de 2013-2014</t>
  </si>
  <si>
    <t>La Universidad al ser una Institución de Educación Superior de reciente creación, requiere de mayor apoyo para desarrollar</t>
  </si>
  <si>
    <t>adecuadamente las Funciones Sustantivas de una mejor manera.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</si>
</sst>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41" x14ac:knownFonts="1">
    <font>
      <sz val="11"/>
      <color theme="1"/>
      <name val="Calibri"/>
      <family val="2"/>
      <scheme val="minor"/>
    </font>
    <font>
      <u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hadow/>
      <sz val="28"/>
      <color theme="1"/>
      <name val="Arial"/>
      <family val="2"/>
    </font>
    <font>
      <b/>
      <sz val="28"/>
      <color theme="1"/>
      <name val="Arial"/>
      <family val="2"/>
    </font>
    <font>
      <sz val="5"/>
      <color theme="1"/>
      <name val="Arial"/>
      <family val="2"/>
    </font>
    <font>
      <b/>
      <sz val="28"/>
      <name val="Arial"/>
      <family val="2"/>
    </font>
    <font>
      <sz val="6"/>
      <color theme="1"/>
      <name val="Arial"/>
      <family val="2"/>
    </font>
    <font>
      <b/>
      <sz val="18"/>
      <color rgb="FF80808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5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sz val="14"/>
      <color theme="1"/>
      <name val="Arial"/>
      <family val="2"/>
    </font>
    <font>
      <b/>
      <sz val="12"/>
      <color rgb="FF231F20"/>
      <name val="Arial"/>
      <family val="2"/>
    </font>
    <font>
      <sz val="10"/>
      <color rgb="FF231F2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10"/>
      <color rgb="FF231F2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3"/>
      <color theme="1"/>
      <name val="Arial"/>
      <family val="2"/>
    </font>
    <font>
      <u/>
      <sz val="12"/>
      <color theme="1"/>
      <name val="Arial"/>
      <family val="2"/>
    </font>
    <font>
      <sz val="8.5"/>
      <color theme="1"/>
      <name val="Arial"/>
      <family val="2"/>
    </font>
    <font>
      <sz val="9.5"/>
      <color theme="1"/>
      <name val="Arial"/>
      <family val="2"/>
    </font>
    <font>
      <sz val="5.5"/>
      <color theme="1"/>
      <name val="Arial"/>
      <family val="2"/>
    </font>
    <font>
      <b/>
      <sz val="9"/>
      <color rgb="FF231F20"/>
      <name val="Arial"/>
      <family val="2"/>
    </font>
    <font>
      <sz val="9"/>
      <color rgb="FF231F20"/>
      <name val="Arial"/>
      <family val="2"/>
    </font>
    <font>
      <sz val="7.5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"/>
      <name val="Arial"/>
      <family val="2"/>
    </font>
    <font>
      <sz val="8"/>
      <color rgb="FF231F20"/>
      <name val="Arial"/>
      <family val="2"/>
    </font>
    <font>
      <sz val="8"/>
      <color rgb="FFFFFF00"/>
      <name val="Calibri"/>
      <family val="2"/>
      <scheme val="minor"/>
    </font>
    <font>
      <b/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29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/>
    <xf numFmtId="0" fontId="4" fillId="0" borderId="0" xfId="1" applyFont="1"/>
    <xf numFmtId="0" fontId="2" fillId="0" borderId="6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6" fillId="0" borderId="1" xfId="0" applyFont="1" applyBorder="1" applyAlignment="1">
      <alignment vertical="center"/>
    </xf>
    <xf numFmtId="0" fontId="7" fillId="0" borderId="2" xfId="0" applyFont="1" applyBorder="1"/>
    <xf numFmtId="0" fontId="7" fillId="0" borderId="3" xfId="0" applyFont="1" applyBorder="1"/>
    <xf numFmtId="0" fontId="6" fillId="0" borderId="4" xfId="0" applyFont="1" applyBorder="1" applyAlignment="1">
      <alignment vertical="center"/>
    </xf>
    <xf numFmtId="0" fontId="7" fillId="0" borderId="0" xfId="0" applyFont="1" applyBorder="1"/>
    <xf numFmtId="0" fontId="7" fillId="0" borderId="5" xfId="0" applyFont="1" applyBorder="1"/>
    <xf numFmtId="0" fontId="8" fillId="0" borderId="4" xfId="0" applyFont="1" applyBorder="1" applyAlignment="1">
      <alignment vertical="center"/>
    </xf>
    <xf numFmtId="0" fontId="7" fillId="0" borderId="4" xfId="0" applyFont="1" applyBorder="1"/>
    <xf numFmtId="0" fontId="11" fillId="0" borderId="4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7" fillId="0" borderId="12" xfId="0" applyFont="1" applyBorder="1"/>
    <xf numFmtId="0" fontId="7" fillId="0" borderId="13" xfId="0" applyFont="1" applyBorder="1"/>
    <xf numFmtId="0" fontId="14" fillId="0" borderId="13" xfId="0" applyFont="1" applyBorder="1" applyAlignment="1">
      <alignment horizontal="left" vertical="center"/>
    </xf>
    <xf numFmtId="0" fontId="7" fillId="0" borderId="14" xfId="0" applyFont="1" applyBorder="1"/>
    <xf numFmtId="0" fontId="8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 vertical="center" indent="1"/>
    </xf>
    <xf numFmtId="0" fontId="7" fillId="0" borderId="8" xfId="0" applyFont="1" applyBorder="1" applyAlignment="1">
      <alignment vertical="center"/>
    </xf>
    <xf numFmtId="0" fontId="7" fillId="0" borderId="8" xfId="0" applyFont="1" applyBorder="1"/>
    <xf numFmtId="0" fontId="7" fillId="0" borderId="9" xfId="0" applyFont="1" applyBorder="1" applyAlignment="1"/>
    <xf numFmtId="0" fontId="7" fillId="0" borderId="8" xfId="0" applyFont="1" applyBorder="1" applyAlignment="1"/>
    <xf numFmtId="0" fontId="6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justify" vertical="center"/>
    </xf>
    <xf numFmtId="0" fontId="7" fillId="0" borderId="10" xfId="0" applyFont="1" applyBorder="1" applyAlignment="1">
      <alignment vertical="center"/>
    </xf>
    <xf numFmtId="164" fontId="7" fillId="0" borderId="8" xfId="2" applyNumberFormat="1" applyFont="1" applyBorder="1" applyAlignment="1">
      <alignment vertical="center"/>
    </xf>
    <xf numFmtId="0" fontId="7" fillId="0" borderId="7" xfId="0" applyFont="1" applyBorder="1" applyAlignment="1"/>
    <xf numFmtId="0" fontId="7" fillId="0" borderId="9" xfId="0" applyFont="1" applyBorder="1"/>
    <xf numFmtId="0" fontId="6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vertical="top" wrapText="1"/>
    </xf>
    <xf numFmtId="0" fontId="18" fillId="0" borderId="0" xfId="0" applyFont="1" applyBorder="1" applyAlignment="1">
      <alignment horizontal="right" vertical="center"/>
    </xf>
    <xf numFmtId="0" fontId="7" fillId="0" borderId="11" xfId="0" applyFont="1" applyBorder="1"/>
    <xf numFmtId="3" fontId="7" fillId="0" borderId="11" xfId="0" applyNumberFormat="1" applyFont="1" applyBorder="1" applyAlignment="1">
      <alignment horizontal="center" vertical="center"/>
    </xf>
    <xf numFmtId="3" fontId="7" fillId="0" borderId="11" xfId="0" applyNumberFormat="1" applyFont="1" applyBorder="1"/>
    <xf numFmtId="0" fontId="24" fillId="0" borderId="0" xfId="0" applyFont="1" applyBorder="1" applyAlignment="1">
      <alignment vertical="center"/>
    </xf>
    <xf numFmtId="3" fontId="7" fillId="0" borderId="0" xfId="0" applyNumberFormat="1" applyFont="1" applyBorder="1"/>
    <xf numFmtId="3" fontId="7" fillId="0" borderId="11" xfId="0" applyNumberFormat="1" applyFont="1" applyBorder="1" applyAlignment="1">
      <alignment horizontal="center"/>
    </xf>
    <xf numFmtId="0" fontId="15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2" fillId="0" borderId="0" xfId="0" applyFont="1" applyBorder="1" applyAlignment="1">
      <alignment horizontal="left" vertical="top" wrapText="1"/>
    </xf>
    <xf numFmtId="0" fontId="18" fillId="2" borderId="0" xfId="0" applyFont="1" applyFill="1" applyBorder="1" applyAlignment="1">
      <alignment vertical="center"/>
    </xf>
    <xf numFmtId="0" fontId="7" fillId="2" borderId="0" xfId="0" applyFont="1" applyFill="1" applyBorder="1"/>
    <xf numFmtId="0" fontId="7" fillId="0" borderId="11" xfId="0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6" fillId="3" borderId="0" xfId="0" applyFont="1" applyFill="1" applyBorder="1" applyAlignment="1">
      <alignment horizontal="left" vertical="top" wrapText="1"/>
    </xf>
    <xf numFmtId="0" fontId="22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justify" vertical="center"/>
    </xf>
    <xf numFmtId="0" fontId="30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26" fillId="0" borderId="0" xfId="0" applyFont="1" applyBorder="1"/>
    <xf numFmtId="0" fontId="22" fillId="0" borderId="0" xfId="0" applyFont="1" applyBorder="1" applyAlignment="1">
      <alignment horizontal="left" vertical="center"/>
    </xf>
    <xf numFmtId="3" fontId="7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left" vertical="center" indent="15"/>
    </xf>
    <xf numFmtId="0" fontId="15" fillId="0" borderId="0" xfId="0" applyFont="1" applyBorder="1" applyAlignment="1">
      <alignment horizontal="left" vertical="top" wrapText="1"/>
    </xf>
    <xf numFmtId="0" fontId="18" fillId="0" borderId="0" xfId="0" applyFont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15" xfId="0" applyFont="1" applyBorder="1"/>
    <xf numFmtId="0" fontId="7" fillId="0" borderId="10" xfId="0" applyFont="1" applyBorder="1"/>
    <xf numFmtId="0" fontId="7" fillId="0" borderId="16" xfId="0" applyFont="1" applyBorder="1"/>
    <xf numFmtId="0" fontId="7" fillId="0" borderId="17" xfId="0" applyFont="1" applyBorder="1"/>
    <xf numFmtId="0" fontId="7" fillId="0" borderId="18" xfId="0" applyFont="1" applyBorder="1"/>
    <xf numFmtId="0" fontId="28" fillId="0" borderId="0" xfId="0" applyFont="1" applyBorder="1" applyAlignment="1">
      <alignment vertical="center"/>
    </xf>
    <xf numFmtId="0" fontId="7" fillId="4" borderId="1" xfId="0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7" fillId="4" borderId="4" xfId="0" applyFont="1" applyFill="1" applyBorder="1"/>
    <xf numFmtId="0" fontId="7" fillId="4" borderId="0" xfId="0" applyFont="1" applyFill="1" applyBorder="1"/>
    <xf numFmtId="0" fontId="7" fillId="4" borderId="0" xfId="0" applyFont="1" applyFill="1"/>
    <xf numFmtId="0" fontId="15" fillId="4" borderId="5" xfId="0" applyFont="1" applyFill="1" applyBorder="1" applyAlignment="1">
      <alignment horizontal="right" vertical="center"/>
    </xf>
    <xf numFmtId="0" fontId="7" fillId="4" borderId="5" xfId="0" applyFont="1" applyFill="1" applyBorder="1"/>
    <xf numFmtId="0" fontId="16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15" fillId="0" borderId="0" xfId="0" applyFont="1" applyBorder="1" applyAlignment="1">
      <alignment horizontal="center" vertical="center" wrapText="1"/>
    </xf>
    <xf numFmtId="0" fontId="20" fillId="5" borderId="1" xfId="0" applyFont="1" applyFill="1" applyBorder="1" applyAlignment="1">
      <alignment vertical="center"/>
    </xf>
    <xf numFmtId="0" fontId="7" fillId="5" borderId="4" xfId="0" applyFont="1" applyFill="1" applyBorder="1"/>
    <xf numFmtId="0" fontId="7" fillId="5" borderId="2" xfId="0" applyFont="1" applyFill="1" applyBorder="1"/>
    <xf numFmtId="2" fontId="15" fillId="5" borderId="2" xfId="0" applyNumberFormat="1" applyFont="1" applyFill="1" applyBorder="1" applyAlignment="1">
      <alignment horizontal="right" vertical="center"/>
    </xf>
    <xf numFmtId="0" fontId="16" fillId="5" borderId="0" xfId="0" applyFont="1" applyFill="1" applyBorder="1" applyAlignment="1">
      <alignment vertical="center"/>
    </xf>
    <xf numFmtId="0" fontId="15" fillId="5" borderId="0" xfId="0" applyFont="1" applyFill="1" applyBorder="1" applyAlignment="1">
      <alignment vertical="center"/>
    </xf>
    <xf numFmtId="0" fontId="7" fillId="5" borderId="5" xfId="0" applyFont="1" applyFill="1" applyBorder="1"/>
    <xf numFmtId="0" fontId="7" fillId="5" borderId="3" xfId="0" applyFont="1" applyFill="1" applyBorder="1"/>
    <xf numFmtId="0" fontId="16" fillId="5" borderId="5" xfId="0" applyFont="1" applyFill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right"/>
    </xf>
    <xf numFmtId="0" fontId="7" fillId="4" borderId="13" xfId="0" quotePrefix="1" applyFont="1" applyFill="1" applyBorder="1" applyAlignment="1">
      <alignment horizontal="right"/>
    </xf>
    <xf numFmtId="2" fontId="15" fillId="0" borderId="0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justify"/>
    </xf>
    <xf numFmtId="0" fontId="23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0" fontId="6" fillId="0" borderId="0" xfId="0" applyFont="1" applyBorder="1" applyAlignment="1">
      <alignment horizontal="justify" vertical="top" wrapText="1"/>
    </xf>
    <xf numFmtId="0" fontId="36" fillId="0" borderId="0" xfId="0" applyFont="1" applyBorder="1" applyAlignment="1"/>
    <xf numFmtId="0" fontId="26" fillId="0" borderId="0" xfId="0" applyFont="1" applyBorder="1" applyAlignment="1">
      <alignment horizontal="left" vertical="center"/>
    </xf>
    <xf numFmtId="0" fontId="16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/>
    </xf>
    <xf numFmtId="0" fontId="16" fillId="0" borderId="0" xfId="0" applyFont="1" applyBorder="1" applyAlignment="1">
      <alignment horizontal="left" vertical="center" indent="15"/>
    </xf>
    <xf numFmtId="0" fontId="15" fillId="0" borderId="0" xfId="0" applyFont="1" applyBorder="1" applyAlignment="1">
      <alignment vertical="top"/>
    </xf>
    <xf numFmtId="0" fontId="22" fillId="0" borderId="0" xfId="0" applyFont="1" applyBorder="1" applyAlignment="1">
      <alignment horizontal="justify" vertical="center"/>
    </xf>
    <xf numFmtId="3" fontId="7" fillId="0" borderId="0" xfId="0" applyNumberFormat="1" applyFont="1" applyBorder="1" applyAlignment="1">
      <alignment horizontal="center" vertical="center"/>
    </xf>
    <xf numFmtId="0" fontId="7" fillId="0" borderId="7" xfId="0" applyFont="1" applyBorder="1"/>
    <xf numFmtId="0" fontId="7" fillId="0" borderId="17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19" xfId="0" applyFont="1" applyBorder="1" applyAlignment="1">
      <alignment vertical="top"/>
    </xf>
    <xf numFmtId="0" fontId="7" fillId="0" borderId="8" xfId="0" applyFont="1" applyBorder="1" applyAlignment="1">
      <alignment vertical="top"/>
    </xf>
    <xf numFmtId="0" fontId="7" fillId="0" borderId="20" xfId="0" applyFont="1" applyBorder="1"/>
    <xf numFmtId="0" fontId="6" fillId="0" borderId="19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4" borderId="12" xfId="0" applyFont="1" applyFill="1" applyBorder="1"/>
    <xf numFmtId="0" fontId="6" fillId="4" borderId="13" xfId="0" applyFont="1" applyFill="1" applyBorder="1" applyAlignment="1">
      <alignment vertical="center"/>
    </xf>
    <xf numFmtId="0" fontId="7" fillId="4" borderId="13" xfId="0" applyFont="1" applyFill="1" applyBorder="1"/>
    <xf numFmtId="0" fontId="7" fillId="4" borderId="14" xfId="0" applyFont="1" applyFill="1" applyBorder="1"/>
    <xf numFmtId="0" fontId="7" fillId="3" borderId="0" xfId="0" applyFont="1" applyFill="1" applyBorder="1"/>
    <xf numFmtId="3" fontId="7" fillId="0" borderId="6" xfId="0" applyNumberFormat="1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vertical="center"/>
    </xf>
    <xf numFmtId="0" fontId="13" fillId="4" borderId="4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24" fillId="4" borderId="4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7" fillId="4" borderId="4" xfId="0" applyFont="1" applyFill="1" applyBorder="1" applyAlignment="1">
      <alignment vertical="center"/>
    </xf>
    <xf numFmtId="0" fontId="28" fillId="4" borderId="4" xfId="0" applyFont="1" applyFill="1" applyBorder="1" applyAlignment="1">
      <alignment vertical="center"/>
    </xf>
    <xf numFmtId="0" fontId="25" fillId="4" borderId="4" xfId="0" applyFont="1" applyFill="1" applyBorder="1" applyAlignment="1">
      <alignment vertical="center"/>
    </xf>
    <xf numFmtId="0" fontId="20" fillId="4" borderId="4" xfId="0" applyFont="1" applyFill="1" applyBorder="1" applyAlignment="1">
      <alignment vertical="center"/>
    </xf>
    <xf numFmtId="0" fontId="6" fillId="4" borderId="12" xfId="0" applyFont="1" applyFill="1" applyBorder="1" applyAlignment="1">
      <alignment vertical="center"/>
    </xf>
    <xf numFmtId="0" fontId="7" fillId="5" borderId="1" xfId="0" applyFont="1" applyFill="1" applyBorder="1"/>
    <xf numFmtId="0" fontId="7" fillId="5" borderId="0" xfId="0" applyFont="1" applyFill="1" applyBorder="1"/>
    <xf numFmtId="0" fontId="7" fillId="5" borderId="0" xfId="0" applyFont="1" applyFill="1"/>
    <xf numFmtId="0" fontId="15" fillId="5" borderId="5" xfId="0" applyFont="1" applyFill="1" applyBorder="1" applyAlignment="1">
      <alignment horizontal="right" vertical="center"/>
    </xf>
    <xf numFmtId="0" fontId="20" fillId="5" borderId="0" xfId="0" applyFont="1" applyFill="1" applyBorder="1" applyAlignment="1">
      <alignment vertical="center"/>
    </xf>
    <xf numFmtId="0" fontId="16" fillId="4" borderId="4" xfId="0" applyFont="1" applyFill="1" applyBorder="1" applyAlignment="1">
      <alignment horizontal="left" vertical="center"/>
    </xf>
    <xf numFmtId="0" fontId="30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left" vertical="center" indent="2"/>
    </xf>
    <xf numFmtId="0" fontId="28" fillId="4" borderId="12" xfId="0" applyFont="1" applyFill="1" applyBorder="1" applyAlignment="1">
      <alignment vertical="center"/>
    </xf>
    <xf numFmtId="0" fontId="31" fillId="4" borderId="4" xfId="0" applyFont="1" applyFill="1" applyBorder="1" applyAlignment="1">
      <alignment vertical="center"/>
    </xf>
    <xf numFmtId="0" fontId="32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22" fillId="4" borderId="4" xfId="0" applyFont="1" applyFill="1" applyBorder="1" applyAlignment="1">
      <alignment horizontal="left" vertical="center" indent="2"/>
    </xf>
    <xf numFmtId="0" fontId="22" fillId="4" borderId="4" xfId="0" applyFont="1" applyFill="1" applyBorder="1" applyAlignment="1">
      <alignment horizontal="justify" vertical="center"/>
    </xf>
    <xf numFmtId="0" fontId="18" fillId="4" borderId="13" xfId="0" applyFont="1" applyFill="1" applyBorder="1" applyAlignment="1">
      <alignment vertical="center"/>
    </xf>
    <xf numFmtId="0" fontId="6" fillId="4" borderId="13" xfId="0" applyFont="1" applyFill="1" applyBorder="1" applyAlignment="1">
      <alignment horizontal="left" vertical="top" wrapText="1"/>
    </xf>
    <xf numFmtId="0" fontId="15" fillId="4" borderId="4" xfId="0" applyFont="1" applyFill="1" applyBorder="1" applyAlignment="1">
      <alignment horizontal="left" vertical="center" indent="9"/>
    </xf>
    <xf numFmtId="0" fontId="35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left" vertical="center" indent="15"/>
    </xf>
    <xf numFmtId="0" fontId="26" fillId="4" borderId="4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15" fillId="4" borderId="12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 vertical="center"/>
    </xf>
    <xf numFmtId="0" fontId="15" fillId="4" borderId="4" xfId="0" applyFont="1" applyFill="1" applyBorder="1" applyAlignment="1">
      <alignment horizontal="right" vertical="center"/>
    </xf>
    <xf numFmtId="1" fontId="2" fillId="0" borderId="0" xfId="0" applyNumberFormat="1" applyFont="1"/>
    <xf numFmtId="0" fontId="7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 wrapText="1"/>
    </xf>
    <xf numFmtId="0" fontId="2" fillId="0" borderId="11" xfId="0" applyFont="1" applyBorder="1"/>
    <xf numFmtId="0" fontId="2" fillId="0" borderId="11" xfId="0" applyFont="1" applyFill="1" applyBorder="1"/>
    <xf numFmtId="0" fontId="2" fillId="8" borderId="11" xfId="0" applyFont="1" applyFill="1" applyBorder="1"/>
    <xf numFmtId="0" fontId="2" fillId="7" borderId="11" xfId="0" applyFont="1" applyFill="1" applyBorder="1"/>
    <xf numFmtId="0" fontId="0" fillId="0" borderId="18" xfId="0" applyBorder="1" applyAlignment="1">
      <alignment horizontal="center"/>
    </xf>
    <xf numFmtId="2" fontId="40" fillId="0" borderId="0" xfId="0" applyNumberFormat="1" applyFont="1" applyBorder="1"/>
    <xf numFmtId="0" fontId="2" fillId="9" borderId="0" xfId="0" applyFont="1" applyFill="1"/>
    <xf numFmtId="1" fontId="2" fillId="9" borderId="0" xfId="0" applyNumberFormat="1" applyFont="1" applyFill="1"/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18" xfId="0" applyFont="1" applyBorder="1" applyAlignment="1">
      <alignment horizontal="right" vertical="center"/>
    </xf>
    <xf numFmtId="0" fontId="7" fillId="0" borderId="0" xfId="0" applyFont="1" applyBorder="1" applyAlignment="1">
      <alignment horizontal="center"/>
    </xf>
    <xf numFmtId="1" fontId="7" fillId="0" borderId="6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right" vertical="center" wrapText="1"/>
    </xf>
    <xf numFmtId="0" fontId="15" fillId="0" borderId="0" xfId="0" applyFont="1" applyBorder="1" applyAlignment="1">
      <alignment horizontal="right" vertical="center" wrapText="1"/>
    </xf>
    <xf numFmtId="0" fontId="15" fillId="0" borderId="10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22" fillId="0" borderId="0" xfId="0" applyFont="1" applyBorder="1" applyAlignment="1">
      <alignment horizontal="justify" vertical="top" wrapText="1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justify" vertical="top" wrapText="1"/>
    </xf>
    <xf numFmtId="0" fontId="16" fillId="5" borderId="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justify" vertical="top" wrapText="1"/>
    </xf>
    <xf numFmtId="0" fontId="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center" wrapText="1"/>
    </xf>
    <xf numFmtId="0" fontId="36" fillId="0" borderId="8" xfId="0" applyFont="1" applyBorder="1" applyAlignment="1">
      <alignment horizontal="center" wrapText="1"/>
    </xf>
    <xf numFmtId="0" fontId="21" fillId="0" borderId="0" xfId="0" applyFont="1" applyBorder="1" applyAlignment="1">
      <alignment horizontal="justify" vertical="center" wrapText="1"/>
    </xf>
    <xf numFmtId="0" fontId="27" fillId="0" borderId="0" xfId="0" applyFont="1" applyBorder="1" applyAlignment="1">
      <alignment horizontal="center" vertical="center" wrapText="1"/>
    </xf>
    <xf numFmtId="0" fontId="6" fillId="4" borderId="0" xfId="0" applyFont="1" applyFill="1" applyBorder="1" applyAlignment="1">
      <alignment horizontal="justify" vertical="top" wrapText="1"/>
    </xf>
    <xf numFmtId="0" fontId="18" fillId="4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justify" vertical="top" wrapText="1"/>
    </xf>
    <xf numFmtId="0" fontId="1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 wrapText="1"/>
    </xf>
    <xf numFmtId="0" fontId="39" fillId="6" borderId="0" xfId="0" applyFont="1" applyFill="1" applyAlignment="1">
      <alignment horizontal="center"/>
    </xf>
    <xf numFmtId="0" fontId="39" fillId="5" borderId="0" xfId="0" applyFont="1" applyFill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2" fillId="10" borderId="0" xfId="0" applyFont="1" applyFill="1"/>
    <xf numFmtId="43" fontId="2" fillId="10" borderId="0" xfId="2" applyFont="1" applyFill="1"/>
    <xf numFmtId="0" fontId="4" fillId="10" borderId="0" xfId="1" applyFont="1" applyFill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36</xdr:row>
      <xdr:rowOff>104774</xdr:rowOff>
    </xdr:from>
    <xdr:to>
      <xdr:col>4</xdr:col>
      <xdr:colOff>371475</xdr:colOff>
      <xdr:row>41</xdr:row>
      <xdr:rowOff>133349</xdr:rowOff>
    </xdr:to>
    <xdr:grpSp>
      <xdr:nvGrpSpPr>
        <xdr:cNvPr id="2" name="1 Grupo"/>
        <xdr:cNvGrpSpPr/>
      </xdr:nvGrpSpPr>
      <xdr:grpSpPr>
        <a:xfrm>
          <a:off x="266700" y="6972299"/>
          <a:ext cx="2076450" cy="1057275"/>
          <a:chOff x="257175" y="7534275"/>
          <a:chExt cx="1771650" cy="1009650"/>
        </a:xfrm>
      </xdr:grpSpPr>
      <xdr:pic>
        <xdr:nvPicPr>
          <xdr:cNvPr id="2658" name="2657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59" name="2658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361949</xdr:colOff>
      <xdr:row>2</xdr:row>
      <xdr:rowOff>123825</xdr:rowOff>
    </xdr:from>
    <xdr:to>
      <xdr:col>3</xdr:col>
      <xdr:colOff>361950</xdr:colOff>
      <xdr:row>7</xdr:row>
      <xdr:rowOff>168107</xdr:rowOff>
    </xdr:to>
    <xdr:pic>
      <xdr:nvPicPr>
        <xdr:cNvPr id="315" name="31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49" y="504825"/>
          <a:ext cx="762001" cy="99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3</xdr:row>
      <xdr:rowOff>47625</xdr:rowOff>
    </xdr:from>
    <xdr:to>
      <xdr:col>14</xdr:col>
      <xdr:colOff>542925</xdr:colOff>
      <xdr:row>6</xdr:row>
      <xdr:rowOff>123824</xdr:rowOff>
    </xdr:to>
    <xdr:pic>
      <xdr:nvPicPr>
        <xdr:cNvPr id="31" name="3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7439025" y="628650"/>
          <a:ext cx="2009775" cy="61912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161925</xdr:colOff>
      <xdr:row>39</xdr:row>
      <xdr:rowOff>66675</xdr:rowOff>
    </xdr:from>
    <xdr:to>
      <xdr:col>3</xdr:col>
      <xdr:colOff>247650</xdr:colOff>
      <xdr:row>39</xdr:row>
      <xdr:rowOff>66675</xdr:rowOff>
    </xdr:to>
    <xdr:grpSp>
      <xdr:nvGrpSpPr>
        <xdr:cNvPr id="35" name="Group 3578"/>
        <xdr:cNvGrpSpPr>
          <a:grpSpLocks/>
        </xdr:cNvGrpSpPr>
      </xdr:nvGrpSpPr>
      <xdr:grpSpPr bwMode="auto">
        <a:xfrm>
          <a:off x="1276350" y="7524750"/>
          <a:ext cx="85725" cy="0"/>
          <a:chOff x="2189" y="1233"/>
          <a:chExt cx="132" cy="2"/>
        </a:xfrm>
      </xdr:grpSpPr>
      <xdr:sp macro="" textlink="">
        <xdr:nvSpPr>
          <xdr:cNvPr id="36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39</xdr:row>
      <xdr:rowOff>66675</xdr:rowOff>
    </xdr:from>
    <xdr:to>
      <xdr:col>3</xdr:col>
      <xdr:colOff>85725</xdr:colOff>
      <xdr:row>39</xdr:row>
      <xdr:rowOff>66675</xdr:rowOff>
    </xdr:to>
    <xdr:grpSp>
      <xdr:nvGrpSpPr>
        <xdr:cNvPr id="37" name="Group 3582"/>
        <xdr:cNvGrpSpPr>
          <a:grpSpLocks/>
        </xdr:cNvGrpSpPr>
      </xdr:nvGrpSpPr>
      <xdr:grpSpPr bwMode="auto">
        <a:xfrm>
          <a:off x="1133475" y="7524750"/>
          <a:ext cx="66675" cy="0"/>
          <a:chOff x="1967" y="1233"/>
          <a:chExt cx="110" cy="2"/>
        </a:xfrm>
      </xdr:grpSpPr>
      <xdr:sp macro="" textlink="">
        <xdr:nvSpPr>
          <xdr:cNvPr id="38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38</xdr:row>
      <xdr:rowOff>19051</xdr:rowOff>
    </xdr:from>
    <xdr:to>
      <xdr:col>14</xdr:col>
      <xdr:colOff>723900</xdr:colOff>
      <xdr:row>40</xdr:row>
      <xdr:rowOff>133350</xdr:rowOff>
    </xdr:to>
    <xdr:pic>
      <xdr:nvPicPr>
        <xdr:cNvPr id="39" name="38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7458075" y="390526"/>
          <a:ext cx="2009775" cy="61912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104775</xdr:colOff>
      <xdr:row>180</xdr:row>
      <xdr:rowOff>104774</xdr:rowOff>
    </xdr:from>
    <xdr:to>
      <xdr:col>4</xdr:col>
      <xdr:colOff>371475</xdr:colOff>
      <xdr:row>185</xdr:row>
      <xdr:rowOff>133349</xdr:rowOff>
    </xdr:to>
    <xdr:grpSp>
      <xdr:nvGrpSpPr>
        <xdr:cNvPr id="56" name="55 Grupo"/>
        <xdr:cNvGrpSpPr/>
      </xdr:nvGrpSpPr>
      <xdr:grpSpPr>
        <a:xfrm>
          <a:off x="266700" y="35566349"/>
          <a:ext cx="2076450" cy="1066800"/>
          <a:chOff x="257175" y="7534275"/>
          <a:chExt cx="1771650" cy="1009650"/>
        </a:xfrm>
      </xdr:grpSpPr>
      <xdr:pic>
        <xdr:nvPicPr>
          <xdr:cNvPr id="57" name="56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8" name="57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161925</xdr:colOff>
      <xdr:row>183</xdr:row>
      <xdr:rowOff>66675</xdr:rowOff>
    </xdr:from>
    <xdr:to>
      <xdr:col>3</xdr:col>
      <xdr:colOff>247650</xdr:colOff>
      <xdr:row>183</xdr:row>
      <xdr:rowOff>66675</xdr:rowOff>
    </xdr:to>
    <xdr:grpSp>
      <xdr:nvGrpSpPr>
        <xdr:cNvPr id="59" name="Group 3578"/>
        <xdr:cNvGrpSpPr>
          <a:grpSpLocks/>
        </xdr:cNvGrpSpPr>
      </xdr:nvGrpSpPr>
      <xdr:grpSpPr bwMode="auto">
        <a:xfrm>
          <a:off x="1276350" y="36118800"/>
          <a:ext cx="85725" cy="0"/>
          <a:chOff x="2189" y="1233"/>
          <a:chExt cx="132" cy="2"/>
        </a:xfrm>
      </xdr:grpSpPr>
      <xdr:sp macro="" textlink="">
        <xdr:nvSpPr>
          <xdr:cNvPr id="60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183</xdr:row>
      <xdr:rowOff>66675</xdr:rowOff>
    </xdr:from>
    <xdr:to>
      <xdr:col>3</xdr:col>
      <xdr:colOff>85725</xdr:colOff>
      <xdr:row>183</xdr:row>
      <xdr:rowOff>66675</xdr:rowOff>
    </xdr:to>
    <xdr:grpSp>
      <xdr:nvGrpSpPr>
        <xdr:cNvPr id="61" name="Group 3582"/>
        <xdr:cNvGrpSpPr>
          <a:grpSpLocks/>
        </xdr:cNvGrpSpPr>
      </xdr:nvGrpSpPr>
      <xdr:grpSpPr bwMode="auto">
        <a:xfrm>
          <a:off x="1133475" y="36118800"/>
          <a:ext cx="66675" cy="0"/>
          <a:chOff x="1967" y="1233"/>
          <a:chExt cx="110" cy="2"/>
        </a:xfrm>
      </xdr:grpSpPr>
      <xdr:sp macro="" textlink="">
        <xdr:nvSpPr>
          <xdr:cNvPr id="62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182</xdr:row>
      <xdr:rowOff>19051</xdr:rowOff>
    </xdr:from>
    <xdr:to>
      <xdr:col>14</xdr:col>
      <xdr:colOff>723900</xdr:colOff>
      <xdr:row>184</xdr:row>
      <xdr:rowOff>133350</xdr:rowOff>
    </xdr:to>
    <xdr:pic>
      <xdr:nvPicPr>
        <xdr:cNvPr id="63" name="62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8296275" y="7553326"/>
          <a:ext cx="2000250" cy="57149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104775</xdr:colOff>
      <xdr:row>327</xdr:row>
      <xdr:rowOff>104774</xdr:rowOff>
    </xdr:from>
    <xdr:to>
      <xdr:col>4</xdr:col>
      <xdr:colOff>371475</xdr:colOff>
      <xdr:row>332</xdr:row>
      <xdr:rowOff>133349</xdr:rowOff>
    </xdr:to>
    <xdr:grpSp>
      <xdr:nvGrpSpPr>
        <xdr:cNvPr id="64" name="63 Grupo"/>
        <xdr:cNvGrpSpPr/>
      </xdr:nvGrpSpPr>
      <xdr:grpSpPr>
        <a:xfrm>
          <a:off x="266700" y="62941199"/>
          <a:ext cx="2076450" cy="1057275"/>
          <a:chOff x="257175" y="7534275"/>
          <a:chExt cx="1771650" cy="1009650"/>
        </a:xfrm>
      </xdr:grpSpPr>
      <xdr:pic>
        <xdr:nvPicPr>
          <xdr:cNvPr id="65" name="64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6" name="65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161925</xdr:colOff>
      <xdr:row>330</xdr:row>
      <xdr:rowOff>66675</xdr:rowOff>
    </xdr:from>
    <xdr:to>
      <xdr:col>3</xdr:col>
      <xdr:colOff>247650</xdr:colOff>
      <xdr:row>330</xdr:row>
      <xdr:rowOff>66675</xdr:rowOff>
    </xdr:to>
    <xdr:grpSp>
      <xdr:nvGrpSpPr>
        <xdr:cNvPr id="67" name="Group 3578"/>
        <xdr:cNvGrpSpPr>
          <a:grpSpLocks/>
        </xdr:cNvGrpSpPr>
      </xdr:nvGrpSpPr>
      <xdr:grpSpPr bwMode="auto">
        <a:xfrm>
          <a:off x="1276350" y="63493650"/>
          <a:ext cx="85725" cy="0"/>
          <a:chOff x="2189" y="1233"/>
          <a:chExt cx="132" cy="2"/>
        </a:xfrm>
      </xdr:grpSpPr>
      <xdr:sp macro="" textlink="">
        <xdr:nvSpPr>
          <xdr:cNvPr id="68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330</xdr:row>
      <xdr:rowOff>66675</xdr:rowOff>
    </xdr:from>
    <xdr:to>
      <xdr:col>3</xdr:col>
      <xdr:colOff>85725</xdr:colOff>
      <xdr:row>330</xdr:row>
      <xdr:rowOff>66675</xdr:rowOff>
    </xdr:to>
    <xdr:grpSp>
      <xdr:nvGrpSpPr>
        <xdr:cNvPr id="69" name="Group 3582"/>
        <xdr:cNvGrpSpPr>
          <a:grpSpLocks/>
        </xdr:cNvGrpSpPr>
      </xdr:nvGrpSpPr>
      <xdr:grpSpPr bwMode="auto">
        <a:xfrm>
          <a:off x="1133475" y="63493650"/>
          <a:ext cx="66675" cy="0"/>
          <a:chOff x="1967" y="1233"/>
          <a:chExt cx="110" cy="2"/>
        </a:xfrm>
      </xdr:grpSpPr>
      <xdr:sp macro="" textlink="">
        <xdr:nvSpPr>
          <xdr:cNvPr id="70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329</xdr:row>
      <xdr:rowOff>19051</xdr:rowOff>
    </xdr:from>
    <xdr:to>
      <xdr:col>14</xdr:col>
      <xdr:colOff>723900</xdr:colOff>
      <xdr:row>331</xdr:row>
      <xdr:rowOff>133350</xdr:rowOff>
    </xdr:to>
    <xdr:pic>
      <xdr:nvPicPr>
        <xdr:cNvPr id="71" name="7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8220075" y="36947476"/>
          <a:ext cx="2000250" cy="57149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laneacion.evaluacion@um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4"/>
  <sheetViews>
    <sheetView showGridLines="0" topLeftCell="A105" zoomScale="80" zoomScaleNormal="80" workbookViewId="0">
      <selection activeCell="L121" activeCellId="2" sqref="L115:M115 L120:M120 L121:M121"/>
    </sheetView>
  </sheetViews>
  <sheetFormatPr baseColWidth="10" defaultColWidth="11.44140625" defaultRowHeight="13.8" x14ac:dyDescent="0.25"/>
  <cols>
    <col min="1" max="1" width="2.33203125" style="13" customWidth="1"/>
    <col min="2" max="2" width="2" style="13" customWidth="1"/>
    <col min="3" max="3" width="12" style="13" customWidth="1"/>
    <col min="4" max="4" width="12.5546875" style="13" customWidth="1"/>
    <col min="5" max="5" width="12.33203125" style="13" customWidth="1"/>
    <col min="6" max="6" width="11.6640625" style="13" customWidth="1"/>
    <col min="7" max="7" width="1.5546875" style="13" customWidth="1"/>
    <col min="8" max="8" width="13.5546875" style="13" customWidth="1"/>
    <col min="9" max="9" width="11.5546875" style="13" bestFit="1" customWidth="1"/>
    <col min="10" max="10" width="14.109375" style="13" customWidth="1"/>
    <col min="11" max="11" width="14.44140625" style="13" customWidth="1"/>
    <col min="12" max="13" width="11.5546875" style="13" bestFit="1" customWidth="1"/>
    <col min="14" max="14" width="11.109375" style="13" customWidth="1"/>
    <col min="15" max="15" width="12.5546875" style="13" customWidth="1"/>
    <col min="16" max="16" width="1.6640625" style="13" customWidth="1"/>
    <col min="17" max="16384" width="11.44140625" style="13"/>
  </cols>
  <sheetData>
    <row r="1" spans="2:16" ht="15" thickBot="1" x14ac:dyDescent="0.25">
      <c r="B1" s="12"/>
    </row>
    <row r="2" spans="2:16" ht="14.25" x14ac:dyDescent="0.2">
      <c r="B2" s="14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</row>
    <row r="3" spans="2:16" ht="14.25" x14ac:dyDescent="0.2">
      <c r="B3" s="17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9"/>
    </row>
    <row r="4" spans="2:16" ht="14.25" x14ac:dyDescent="0.2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9"/>
    </row>
    <row r="5" spans="2:16" ht="14.25" x14ac:dyDescent="0.2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2:16" ht="14.25" x14ac:dyDescent="0.2">
      <c r="B6" s="17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9"/>
    </row>
    <row r="7" spans="2:16" ht="14.25" x14ac:dyDescent="0.2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9"/>
    </row>
    <row r="8" spans="2:16" ht="14.25" x14ac:dyDescent="0.2">
      <c r="B8" s="17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9"/>
    </row>
    <row r="9" spans="2:16" ht="14.25" x14ac:dyDescent="0.2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2:16" ht="14.25" x14ac:dyDescent="0.2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9"/>
    </row>
    <row r="11" spans="2:16" ht="14.25" x14ac:dyDescent="0.2">
      <c r="B11" s="17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9"/>
    </row>
    <row r="12" spans="2:16" ht="14.25" x14ac:dyDescent="0.2"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9"/>
    </row>
    <row r="13" spans="2:16" ht="14.25" x14ac:dyDescent="0.2"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9"/>
    </row>
    <row r="14" spans="2:16" ht="14.25" x14ac:dyDescent="0.2">
      <c r="B14" s="17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9"/>
    </row>
    <row r="15" spans="2:16" ht="14.25" x14ac:dyDescent="0.2"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9"/>
    </row>
    <row r="16" spans="2:16" ht="15" x14ac:dyDescent="0.2"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9"/>
    </row>
    <row r="17" spans="2:16" ht="35.4" x14ac:dyDescent="0.25">
      <c r="B17" s="21"/>
      <c r="C17" s="278" t="s">
        <v>284</v>
      </c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19"/>
    </row>
    <row r="18" spans="2:16" ht="13.95" x14ac:dyDescent="0.25">
      <c r="B18" s="22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9"/>
    </row>
    <row r="19" spans="2:16" ht="35.4" x14ac:dyDescent="0.25">
      <c r="B19" s="21"/>
      <c r="C19" s="279" t="s">
        <v>379</v>
      </c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19"/>
    </row>
    <row r="20" spans="2:16" ht="13.95" x14ac:dyDescent="0.25">
      <c r="B20" s="23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9"/>
    </row>
    <row r="21" spans="2:16" ht="13.95" x14ac:dyDescent="0.25"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9"/>
    </row>
    <row r="22" spans="2:16" ht="13.95" x14ac:dyDescent="0.25">
      <c r="B22" s="17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9"/>
    </row>
    <row r="23" spans="2:16" ht="13.95" x14ac:dyDescent="0.25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9"/>
    </row>
    <row r="24" spans="2:16" ht="13.95" x14ac:dyDescent="0.25"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9"/>
    </row>
    <row r="25" spans="2:16" ht="13.95" x14ac:dyDescent="0.25">
      <c r="B25" s="1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9"/>
    </row>
    <row r="26" spans="2:16" ht="13.95" x14ac:dyDescent="0.25">
      <c r="B26" s="17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9"/>
    </row>
    <row r="27" spans="2:16" ht="13.95" x14ac:dyDescent="0.25"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9"/>
    </row>
    <row r="28" spans="2:16" ht="13.95" x14ac:dyDescent="0.25">
      <c r="B28" s="17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9"/>
    </row>
    <row r="29" spans="2:16" ht="13.95" x14ac:dyDescent="0.25">
      <c r="B29" s="17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9"/>
    </row>
    <row r="30" spans="2:16" ht="13.95" x14ac:dyDescent="0.25"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9"/>
    </row>
    <row r="31" spans="2:16" ht="13.95" x14ac:dyDescent="0.25">
      <c r="B31" s="17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9"/>
    </row>
    <row r="32" spans="2:16" ht="13.95" x14ac:dyDescent="0.25">
      <c r="B32" s="17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9"/>
    </row>
    <row r="33" spans="2:16" ht="22.95" x14ac:dyDescent="0.25">
      <c r="B33" s="21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24"/>
      <c r="O33" s="185" t="s">
        <v>380</v>
      </c>
      <c r="P33" s="19"/>
    </row>
    <row r="34" spans="2:16" ht="9" customHeight="1" thickBot="1" x14ac:dyDescent="0.3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7"/>
      <c r="O34" s="26"/>
      <c r="P34" s="28"/>
    </row>
    <row r="35" spans="2:16" ht="16.5" customHeight="1" x14ac:dyDescent="0.25"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24"/>
      <c r="O35" s="18"/>
      <c r="P35" s="18"/>
    </row>
    <row r="36" spans="2:16" ht="14.4" thickBot="1" x14ac:dyDescent="0.3"/>
    <row r="37" spans="2:16" ht="13.95" x14ac:dyDescent="0.25">
      <c r="B37" s="95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7"/>
    </row>
    <row r="38" spans="2:16" ht="15.6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100"/>
      <c r="P38" s="101"/>
    </row>
    <row r="39" spans="2:16" ht="17.399999999999999" x14ac:dyDescent="0.25">
      <c r="B39" s="98"/>
      <c r="C39" s="99"/>
      <c r="D39" s="99"/>
      <c r="E39" s="99"/>
      <c r="F39" s="228" t="s">
        <v>339</v>
      </c>
      <c r="G39" s="228"/>
      <c r="H39" s="228"/>
      <c r="I39" s="228"/>
      <c r="J39" s="228"/>
      <c r="K39" s="228"/>
      <c r="L39" s="228"/>
      <c r="M39" s="99"/>
      <c r="N39" s="99"/>
      <c r="O39" s="99"/>
      <c r="P39" s="102"/>
    </row>
    <row r="40" spans="2:16" ht="17.399999999999999" x14ac:dyDescent="0.25">
      <c r="B40" s="98"/>
      <c r="C40" s="99"/>
      <c r="D40" s="99"/>
      <c r="E40" s="99"/>
      <c r="F40" s="228" t="s">
        <v>381</v>
      </c>
      <c r="G40" s="228"/>
      <c r="H40" s="228"/>
      <c r="I40" s="228"/>
      <c r="J40" s="228"/>
      <c r="K40" s="228"/>
      <c r="L40" s="228"/>
      <c r="M40" s="103"/>
      <c r="N40" s="99"/>
      <c r="O40" s="99"/>
      <c r="P40" s="102"/>
    </row>
    <row r="41" spans="2:16" ht="17.399999999999999" x14ac:dyDescent="0.25">
      <c r="B41" s="98"/>
      <c r="C41" s="99"/>
      <c r="D41" s="99"/>
      <c r="E41" s="99"/>
      <c r="F41" s="229" t="s">
        <v>0</v>
      </c>
      <c r="G41" s="229"/>
      <c r="H41" s="229"/>
      <c r="I41" s="229"/>
      <c r="J41" s="229"/>
      <c r="K41" s="229"/>
      <c r="L41" s="229"/>
      <c r="M41" s="103"/>
      <c r="N41" s="99"/>
      <c r="O41" s="99"/>
      <c r="P41" s="102"/>
    </row>
    <row r="42" spans="2:16" ht="17.399999999999999" x14ac:dyDescent="0.25">
      <c r="B42" s="98"/>
      <c r="C42" s="104"/>
      <c r="D42" s="99"/>
      <c r="E42" s="99"/>
      <c r="F42" s="229"/>
      <c r="G42" s="229"/>
      <c r="H42" s="229"/>
      <c r="I42" s="229"/>
      <c r="J42" s="229"/>
      <c r="K42" s="229"/>
      <c r="L42" s="229"/>
      <c r="M42" s="99"/>
      <c r="N42" s="99"/>
      <c r="O42" s="99"/>
      <c r="P42" s="102"/>
    </row>
    <row r="43" spans="2:16" ht="18.75" customHeight="1" x14ac:dyDescent="0.25">
      <c r="B43" s="98"/>
      <c r="C43" s="31" t="s">
        <v>109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97">
        <v>911.1</v>
      </c>
      <c r="P43" s="102"/>
    </row>
    <row r="44" spans="2:16" ht="18.75" customHeight="1" x14ac:dyDescent="0.25">
      <c r="B44" s="98"/>
      <c r="C44" s="30" t="s">
        <v>2</v>
      </c>
      <c r="D44" s="18"/>
      <c r="E44" s="200" t="s">
        <v>196</v>
      </c>
      <c r="F44" s="201"/>
      <c r="G44" s="33"/>
      <c r="H44" s="18"/>
      <c r="I44" s="34"/>
      <c r="J44" s="18"/>
      <c r="K44" s="262"/>
      <c r="L44" s="262"/>
      <c r="M44" s="18"/>
      <c r="N44" s="18"/>
      <c r="P44" s="102"/>
    </row>
    <row r="45" spans="2:16" ht="18.75" customHeight="1" x14ac:dyDescent="0.25">
      <c r="B45" s="98"/>
      <c r="C45" s="30" t="s">
        <v>225</v>
      </c>
      <c r="D45" s="18"/>
      <c r="E45" s="35" t="str">
        <f>IF($E$44="","",VLOOKUP($E$44,Base!$A$3:$BS$40,2,FALSE))</f>
        <v>UNIVERSIDAD MEXIQUENSE DEL BICENTENARIO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102"/>
    </row>
    <row r="46" spans="2:16" ht="18.75" customHeight="1" x14ac:dyDescent="0.25">
      <c r="B46" s="98"/>
      <c r="C46" s="30" t="s">
        <v>110</v>
      </c>
      <c r="D46" s="18"/>
      <c r="E46" s="35" t="str">
        <f>IF($E$44="","",VLOOKUP($E$44,Base!$A$3:$BS$40,3,FALSE))</f>
        <v>CARR. MEXICO TOLUCA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102"/>
    </row>
    <row r="47" spans="2:16" ht="18.75" customHeight="1" x14ac:dyDescent="0.25">
      <c r="B47" s="98"/>
      <c r="C47" s="30" t="s">
        <v>111</v>
      </c>
      <c r="D47" s="18"/>
      <c r="E47" s="35" t="str">
        <f>IF($E$44="","",VLOOKUP($E$44,Base!$A$3:$BS$40,4,FALSE))</f>
        <v>KM 43.5</v>
      </c>
      <c r="F47" s="37"/>
      <c r="G47" s="37"/>
      <c r="H47" s="37"/>
      <c r="I47" s="263" t="s">
        <v>112</v>
      </c>
      <c r="J47" s="263"/>
      <c r="K47" s="35" t="str">
        <f>IF($E$44="","",VLOOKUP($E$44,Base!$A$3:$BS$40,5,FALSE))</f>
        <v xml:space="preserve"> </v>
      </c>
      <c r="L47" s="37"/>
      <c r="M47" s="37"/>
      <c r="N47" s="37"/>
      <c r="O47" s="37"/>
      <c r="P47" s="102"/>
    </row>
    <row r="48" spans="2:16" ht="18.75" customHeight="1" x14ac:dyDescent="0.25">
      <c r="B48" s="98"/>
      <c r="C48" s="30" t="s">
        <v>113</v>
      </c>
      <c r="D48" s="18"/>
      <c r="E48" s="35" t="str">
        <f>IF($E$44="","",VLOOKUP($E$44,Base!$A$3:$BS$40,6,FALSE))</f>
        <v>NINGUNO</v>
      </c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102"/>
    </row>
    <row r="49" spans="2:16" ht="18.75" customHeight="1" x14ac:dyDescent="0.25">
      <c r="B49" s="98"/>
      <c r="C49" s="30" t="s">
        <v>114</v>
      </c>
      <c r="D49" s="18"/>
      <c r="E49" s="35" t="str">
        <f>IF($E$44="","",VLOOKUP($E$44,Base!$A$3:$BS$40,7,FALSE))</f>
        <v>JUAN DE DIOS PEZA</v>
      </c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102"/>
    </row>
    <row r="50" spans="2:16" ht="18.75" customHeight="1" x14ac:dyDescent="0.25">
      <c r="B50" s="98"/>
      <c r="C50" s="39" t="s">
        <v>285</v>
      </c>
      <c r="D50" s="18"/>
      <c r="E50" s="40" t="str">
        <f>IF($E$44="","",VLOOKUP($E$44,Base!$A$3:$BS$40,8,FALSE))</f>
        <v xml:space="preserve"> </v>
      </c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102"/>
    </row>
    <row r="51" spans="2:16" ht="6" customHeight="1" x14ac:dyDescent="0.25">
      <c r="B51" s="98"/>
      <c r="C51" s="41"/>
      <c r="D51" s="18"/>
      <c r="E51" s="42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102"/>
    </row>
    <row r="52" spans="2:16" x14ac:dyDescent="0.25">
      <c r="B52" s="98"/>
      <c r="C52" s="30" t="s">
        <v>115</v>
      </c>
      <c r="D52" s="18"/>
      <c r="E52" s="43" t="str">
        <f>IF($E$44="","",VLOOKUP($E$44,Base!$A$3:$BS$40,9,FALSE))</f>
        <v>BARRIO</v>
      </c>
      <c r="F52" s="38"/>
      <c r="G52" s="38"/>
      <c r="H52" s="38"/>
      <c r="I52" s="38"/>
      <c r="J52" s="38"/>
      <c r="K52" s="36"/>
      <c r="L52" s="36"/>
      <c r="M52" s="30" t="s">
        <v>3</v>
      </c>
      <c r="N52" s="32">
        <f>IF($E$44="","",VLOOKUP($E$44,Base!$A$3:$BS$40,10,FALSE))</f>
        <v>52740</v>
      </c>
      <c r="O52" s="44"/>
      <c r="P52" s="102"/>
    </row>
    <row r="53" spans="2:16" ht="18.75" customHeight="1" x14ac:dyDescent="0.25">
      <c r="B53" s="98"/>
      <c r="C53" s="30" t="s">
        <v>286</v>
      </c>
      <c r="D53" s="18"/>
      <c r="E53" s="35" t="str">
        <f>IF($E$44="","",VLOOKUP($E$44,Base!$A$3:$BS$40,11,FALSE))</f>
        <v xml:space="preserve">SAN MIGUEL </v>
      </c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102"/>
    </row>
    <row r="54" spans="2:16" ht="18.75" customHeight="1" x14ac:dyDescent="0.25">
      <c r="B54" s="98"/>
      <c r="C54" s="30" t="s">
        <v>287</v>
      </c>
      <c r="D54" s="18"/>
      <c r="E54" s="35" t="str">
        <f>IF($E$44="","",VLOOKUP($E$44,Base!$A$3:$BS$40,12,FALSE))</f>
        <v>OCOYOACAC</v>
      </c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102"/>
    </row>
    <row r="55" spans="2:16" ht="18.75" customHeight="1" x14ac:dyDescent="0.25">
      <c r="B55" s="98"/>
      <c r="C55" s="30" t="s">
        <v>288</v>
      </c>
      <c r="D55" s="18"/>
      <c r="E55" s="35" t="str">
        <f>IF($E$44="","",VLOOKUP($E$44,Base!$A$3:$BS$40,13,FALSE))</f>
        <v>MÉXICO</v>
      </c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102"/>
    </row>
    <row r="56" spans="2:16" ht="18.75" customHeight="1" x14ac:dyDescent="0.25">
      <c r="B56" s="98"/>
      <c r="C56" s="30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02"/>
    </row>
    <row r="57" spans="2:16" ht="18.75" customHeight="1" x14ac:dyDescent="0.25">
      <c r="B57" s="98"/>
      <c r="C57" s="30" t="s">
        <v>4</v>
      </c>
      <c r="D57" s="200">
        <f>IF($E$44="","",VLOOKUP($E$44,Base!$A$3:$BS$40,14,FALSE))</f>
        <v>7282847310</v>
      </c>
      <c r="E57" s="201"/>
      <c r="F57" s="30" t="s">
        <v>5</v>
      </c>
      <c r="G57" s="30"/>
      <c r="H57" s="32">
        <f>IF($E$44="","",VLOOKUP($E$44,Base!$A$3:$BS$40,15,FALSE))</f>
        <v>160</v>
      </c>
      <c r="I57" s="44"/>
      <c r="J57" s="46" t="s">
        <v>6</v>
      </c>
      <c r="K57" s="32">
        <f>IF($E$44="","",VLOOKUP($E$44,Base!$A$3:$BS$40,16,FALSE))</f>
        <v>7282847310</v>
      </c>
      <c r="L57" s="44"/>
      <c r="M57" s="30" t="s">
        <v>5</v>
      </c>
      <c r="N57" s="47">
        <f>IF($E$44="","",VLOOKUP($E$44,Base!$A$3:$BS$40,17,FALSE))</f>
        <v>122</v>
      </c>
      <c r="O57" s="18"/>
      <c r="P57" s="102"/>
    </row>
    <row r="58" spans="2:16" ht="18.75" customHeight="1" x14ac:dyDescent="0.25">
      <c r="B58" s="98"/>
      <c r="C58" s="30" t="s">
        <v>289</v>
      </c>
      <c r="D58" s="18"/>
      <c r="E58" s="35" t="str">
        <f>IF($E$44="","",VLOOKUP($E$44,Base!$A$3:$BS$40,18,FALSE))</f>
        <v>SECRETARIA DE EDUCACIÓN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102"/>
    </row>
    <row r="59" spans="2:16" ht="18.75" customHeight="1" x14ac:dyDescent="0.25">
      <c r="B59" s="98"/>
      <c r="C59" s="30" t="s">
        <v>220</v>
      </c>
      <c r="D59" s="36"/>
      <c r="E59" s="36"/>
      <c r="F59" s="35" t="str">
        <f>IF($E$44="","",VLOOKUP($E$44,Base!$A$3:$BS$40,19,FALSE))</f>
        <v>EDUCACIÓN SUPERIOR</v>
      </c>
      <c r="G59" s="36"/>
      <c r="H59" s="36"/>
      <c r="I59" s="36"/>
      <c r="J59" s="18" t="s">
        <v>221</v>
      </c>
      <c r="L59" s="35" t="str">
        <f>IF($E$44="","",VLOOKUP($E$44,Base!$A$3:$BS$40,20,FALSE))</f>
        <v>FEDERAL Y ESTATAL</v>
      </c>
      <c r="M59" s="36"/>
      <c r="N59" s="36"/>
      <c r="O59" s="36"/>
      <c r="P59" s="102"/>
    </row>
    <row r="60" spans="2:16" ht="18.75" customHeight="1" x14ac:dyDescent="0.25">
      <c r="B60" s="98"/>
      <c r="C60" s="30" t="s">
        <v>222</v>
      </c>
      <c r="D60" s="18"/>
      <c r="E60" s="18"/>
      <c r="F60" s="45"/>
      <c r="G60" s="35" t="str">
        <f>IF($E$44="","",VLOOKUP($E$44,Base!$A$3:$BS$40,21,FALSE))</f>
        <v>M. EN A. URIEL GALICIA HERNÁNDEZ</v>
      </c>
      <c r="H60" s="45"/>
      <c r="I60" s="45"/>
      <c r="J60" s="36"/>
      <c r="K60" s="45"/>
      <c r="L60" s="45"/>
      <c r="M60" s="45"/>
      <c r="N60" s="45"/>
      <c r="O60" s="45"/>
      <c r="P60" s="102"/>
    </row>
    <row r="61" spans="2:16" ht="18.75" customHeight="1" x14ac:dyDescent="0.25">
      <c r="B61" s="98"/>
      <c r="C61" s="30" t="s">
        <v>223</v>
      </c>
      <c r="D61" s="36"/>
      <c r="E61" s="35" t="str">
        <f>IF($E$44="","",VLOOKUP($E$44,Base!$A$3:$BS$40,22,FALSE))</f>
        <v>www.umb.mx</v>
      </c>
      <c r="F61" s="36"/>
      <c r="G61" s="36"/>
      <c r="H61" s="36"/>
      <c r="I61" s="30" t="s">
        <v>224</v>
      </c>
      <c r="J61" s="18"/>
      <c r="K61" s="18"/>
      <c r="L61" s="45"/>
      <c r="M61" s="35" t="str">
        <f>IF($E$44="","",VLOOKUP($E$44,Base!$A$3:$BS$40,23,FALSE))</f>
        <v>planeacion.evaluacion@umb.mx</v>
      </c>
      <c r="N61" s="45"/>
      <c r="O61" s="45"/>
      <c r="P61" s="102"/>
    </row>
    <row r="62" spans="2:16" ht="18.75" customHeight="1" x14ac:dyDescent="0.25">
      <c r="B62" s="98"/>
      <c r="C62" s="30"/>
      <c r="D62" s="18"/>
      <c r="E62" s="18"/>
      <c r="F62" s="18"/>
      <c r="G62" s="18"/>
      <c r="H62" s="18"/>
      <c r="I62" s="30"/>
      <c r="J62" s="18"/>
      <c r="K62" s="18"/>
      <c r="L62" s="18"/>
      <c r="M62" s="18"/>
      <c r="N62" s="18"/>
      <c r="O62" s="18"/>
      <c r="P62" s="102"/>
    </row>
    <row r="63" spans="2:16" ht="14.4" thickBot="1" x14ac:dyDescent="0.3">
      <c r="B63" s="98"/>
      <c r="C63" s="30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02"/>
    </row>
    <row r="64" spans="2:16" ht="33.75" customHeight="1" x14ac:dyDescent="0.25">
      <c r="B64" s="98"/>
      <c r="C64" s="264" t="s">
        <v>290</v>
      </c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6"/>
      <c r="P64" s="102"/>
    </row>
    <row r="65" spans="2:16" ht="29.25" customHeight="1" x14ac:dyDescent="0.25">
      <c r="B65" s="98"/>
      <c r="C65" s="245" t="s">
        <v>116</v>
      </c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7"/>
      <c r="P65" s="102"/>
    </row>
    <row r="66" spans="2:16" ht="14.4" thickBot="1" x14ac:dyDescent="0.3">
      <c r="B66" s="98"/>
      <c r="C66" s="48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50"/>
      <c r="P66" s="102"/>
    </row>
    <row r="67" spans="2:16" ht="14.4" thickBot="1" x14ac:dyDescent="0.3">
      <c r="B67" s="139"/>
      <c r="C67" s="140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2"/>
    </row>
    <row r="69" spans="2:16" ht="14.4" thickBot="1" x14ac:dyDescent="0.3"/>
    <row r="70" spans="2:16" ht="10.5" customHeight="1" x14ac:dyDescent="0.25">
      <c r="B70" s="106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9"/>
      <c r="P70" s="113"/>
    </row>
    <row r="71" spans="2:16" ht="28.5" customHeight="1" x14ac:dyDescent="0.25">
      <c r="B71" s="107"/>
      <c r="C71" s="75" t="s">
        <v>339</v>
      </c>
      <c r="D71" s="75"/>
      <c r="E71" s="75"/>
      <c r="F71" s="75"/>
      <c r="G71" s="75"/>
      <c r="H71" s="75"/>
      <c r="I71" s="18"/>
      <c r="J71" s="18"/>
      <c r="K71" s="75" t="s">
        <v>383</v>
      </c>
      <c r="L71" s="75"/>
      <c r="M71" s="75"/>
      <c r="N71" s="75"/>
      <c r="O71" s="105" t="s">
        <v>313</v>
      </c>
      <c r="P71" s="114"/>
    </row>
    <row r="72" spans="2:16" ht="11.25" customHeight="1" x14ac:dyDescent="0.25">
      <c r="B72" s="107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1"/>
      <c r="P72" s="112"/>
    </row>
    <row r="73" spans="2:16" ht="15.6" x14ac:dyDescent="0.25">
      <c r="B73" s="145"/>
      <c r="C73" s="267" t="s">
        <v>7</v>
      </c>
      <c r="D73" s="267"/>
      <c r="E73" s="267"/>
      <c r="F73" s="267"/>
      <c r="G73" s="267"/>
      <c r="H73" s="267"/>
      <c r="I73" s="18"/>
      <c r="J73" s="18"/>
      <c r="K73" s="18"/>
      <c r="L73" s="18"/>
      <c r="M73" s="18"/>
      <c r="N73" s="18"/>
      <c r="O73" s="18"/>
      <c r="P73" s="102"/>
    </row>
    <row r="74" spans="2:16" x14ac:dyDescent="0.25">
      <c r="B74" s="98"/>
      <c r="C74" s="267"/>
      <c r="D74" s="267"/>
      <c r="E74" s="267"/>
      <c r="F74" s="267"/>
      <c r="G74" s="267"/>
      <c r="H74" s="267"/>
      <c r="I74" s="18"/>
      <c r="J74" s="18"/>
      <c r="K74" s="18"/>
      <c r="L74" s="18"/>
      <c r="M74" s="18"/>
      <c r="N74" s="18"/>
      <c r="O74" s="18"/>
      <c r="P74" s="102"/>
    </row>
    <row r="75" spans="2:16" ht="15.6" x14ac:dyDescent="0.25">
      <c r="B75" s="98"/>
      <c r="C75" s="51"/>
      <c r="D75" s="51"/>
      <c r="E75" s="51"/>
      <c r="F75" s="51"/>
      <c r="G75" s="51"/>
      <c r="H75" s="51"/>
      <c r="I75" s="18"/>
      <c r="J75" s="18"/>
      <c r="K75" s="18"/>
      <c r="L75" s="31" t="s">
        <v>10</v>
      </c>
      <c r="M75" s="18"/>
      <c r="N75" s="18"/>
      <c r="O75" s="18"/>
      <c r="P75" s="102"/>
    </row>
    <row r="76" spans="2:16" ht="15" customHeight="1" x14ac:dyDescent="0.25">
      <c r="B76" s="98"/>
      <c r="C76" s="230" t="s">
        <v>291</v>
      </c>
      <c r="D76" s="230"/>
      <c r="E76" s="230"/>
      <c r="F76" s="230"/>
      <c r="G76" s="52"/>
      <c r="H76" s="53"/>
      <c r="I76" s="18"/>
      <c r="J76" s="18"/>
      <c r="K76" s="18"/>
      <c r="L76" s="18"/>
      <c r="M76" s="18"/>
      <c r="N76" s="18"/>
      <c r="O76" s="18"/>
      <c r="P76" s="102"/>
    </row>
    <row r="77" spans="2:16" ht="15" customHeight="1" x14ac:dyDescent="0.25">
      <c r="B77" s="146"/>
      <c r="C77" s="230"/>
      <c r="D77" s="230"/>
      <c r="E77" s="230"/>
      <c r="F77" s="230"/>
      <c r="G77" s="52"/>
      <c r="H77" s="54" t="s">
        <v>8</v>
      </c>
      <c r="I77" s="18"/>
      <c r="J77" s="260" t="s">
        <v>11</v>
      </c>
      <c r="K77" s="260"/>
      <c r="L77" s="260"/>
      <c r="M77" s="18"/>
      <c r="N77" s="18"/>
      <c r="O77" s="18"/>
      <c r="P77" s="102"/>
    </row>
    <row r="78" spans="2:16" x14ac:dyDescent="0.25">
      <c r="B78" s="147"/>
      <c r="C78" s="230"/>
      <c r="D78" s="230"/>
      <c r="E78" s="230"/>
      <c r="F78" s="230"/>
      <c r="G78" s="52"/>
      <c r="H78" s="53"/>
      <c r="I78" s="18"/>
      <c r="J78" s="260"/>
      <c r="K78" s="260"/>
      <c r="L78" s="260"/>
      <c r="M78" s="18"/>
      <c r="N78" s="46" t="s">
        <v>12</v>
      </c>
      <c r="O78" s="18"/>
      <c r="P78" s="102"/>
    </row>
    <row r="79" spans="2:16" x14ac:dyDescent="0.25">
      <c r="B79" s="98"/>
      <c r="C79" s="230"/>
      <c r="D79" s="230"/>
      <c r="E79" s="230"/>
      <c r="F79" s="230"/>
      <c r="G79" s="52"/>
      <c r="H79" s="30" t="s">
        <v>117</v>
      </c>
      <c r="I79" s="18"/>
      <c r="J79" s="18"/>
      <c r="K79" s="55"/>
      <c r="L79" s="18"/>
      <c r="M79" s="18"/>
      <c r="N79" s="55"/>
      <c r="O79" s="18"/>
      <c r="P79" s="102"/>
    </row>
    <row r="80" spans="2:16" x14ac:dyDescent="0.25">
      <c r="B80" s="98"/>
      <c r="C80" s="230"/>
      <c r="D80" s="230"/>
      <c r="E80" s="230"/>
      <c r="F80" s="230"/>
      <c r="G80" s="52"/>
      <c r="H80" s="30" t="s">
        <v>118</v>
      </c>
      <c r="I80" s="18"/>
      <c r="J80" s="18"/>
      <c r="K80" s="55"/>
      <c r="L80" s="18"/>
      <c r="M80" s="18"/>
      <c r="N80" s="55"/>
      <c r="O80" s="18"/>
      <c r="P80" s="102"/>
    </row>
    <row r="81" spans="2:16" x14ac:dyDescent="0.25">
      <c r="B81" s="148"/>
      <c r="C81" s="230"/>
      <c r="D81" s="230"/>
      <c r="E81" s="230"/>
      <c r="F81" s="230"/>
      <c r="G81" s="18"/>
      <c r="H81" s="30" t="s">
        <v>119</v>
      </c>
      <c r="I81" s="18"/>
      <c r="J81" s="18"/>
      <c r="K81" s="47">
        <f>IF($E$44="","",VLOOKUP($E$44,Base!$A$3:$BS$40,24,FALSE))</f>
        <v>29</v>
      </c>
      <c r="L81" s="18"/>
      <c r="M81" s="18"/>
      <c r="N81" s="56">
        <f>IF($E$44="","",VLOOKUP($E$44,Base!$A$3:$BS$40,25,FALSE))</f>
        <v>11775</v>
      </c>
      <c r="O81" s="18"/>
      <c r="P81" s="102"/>
    </row>
    <row r="82" spans="2:16" ht="13.95" x14ac:dyDescent="0.25">
      <c r="B82" s="147"/>
      <c r="C82" s="18"/>
      <c r="D82" s="18"/>
      <c r="E82" s="18"/>
      <c r="F82" s="18"/>
      <c r="G82" s="18"/>
      <c r="H82" s="30" t="s">
        <v>13</v>
      </c>
      <c r="I82" s="18"/>
      <c r="J82" s="18"/>
      <c r="K82" s="55"/>
      <c r="L82" s="18"/>
      <c r="M82" s="18"/>
      <c r="N82" s="57"/>
      <c r="O82" s="18"/>
      <c r="P82" s="102"/>
    </row>
    <row r="83" spans="2:16" ht="7.5" customHeight="1" x14ac:dyDescent="0.25">
      <c r="B83" s="98"/>
      <c r="C83" s="18"/>
      <c r="D83" s="18"/>
      <c r="E83" s="18"/>
      <c r="F83" s="18"/>
      <c r="G83" s="18"/>
      <c r="H83" s="58"/>
      <c r="I83" s="18"/>
      <c r="J83" s="18"/>
      <c r="K83" s="18"/>
      <c r="L83" s="18"/>
      <c r="M83" s="18"/>
      <c r="N83" s="59"/>
      <c r="O83" s="18"/>
      <c r="P83" s="102"/>
    </row>
    <row r="84" spans="2:16" ht="13.95" x14ac:dyDescent="0.25">
      <c r="B84" s="98"/>
      <c r="C84" s="18"/>
      <c r="D84" s="18"/>
      <c r="E84" s="18"/>
      <c r="F84" s="18"/>
      <c r="G84" s="18"/>
      <c r="H84" s="31" t="s">
        <v>9</v>
      </c>
      <c r="I84" s="18"/>
      <c r="J84" s="18"/>
      <c r="K84" s="18"/>
      <c r="L84" s="18"/>
      <c r="M84" s="18"/>
      <c r="N84" s="60">
        <f>SUM(N79:N82)</f>
        <v>11775</v>
      </c>
      <c r="O84" s="18"/>
      <c r="P84" s="102"/>
    </row>
    <row r="85" spans="2:16" ht="8.25" customHeight="1" x14ac:dyDescent="0.25">
      <c r="B85" s="147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02"/>
    </row>
    <row r="86" spans="2:16" ht="13.95" x14ac:dyDescent="0.25">
      <c r="B86" s="147"/>
      <c r="C86" s="18"/>
      <c r="D86" s="18"/>
      <c r="E86" s="18"/>
      <c r="F86" s="18"/>
      <c r="G86" s="18"/>
      <c r="H86" s="18"/>
      <c r="I86" s="18"/>
      <c r="J86" s="18"/>
      <c r="K86" s="31" t="s">
        <v>314</v>
      </c>
      <c r="L86" s="18"/>
      <c r="M86" s="18"/>
      <c r="N86" s="18"/>
      <c r="O86" s="18"/>
      <c r="P86" s="102"/>
    </row>
    <row r="87" spans="2:16" x14ac:dyDescent="0.25">
      <c r="B87" s="147"/>
      <c r="C87" s="18"/>
      <c r="D87" s="18"/>
      <c r="E87" s="18"/>
      <c r="F87" s="18"/>
      <c r="G87" s="18"/>
      <c r="H87" s="54" t="s">
        <v>8</v>
      </c>
      <c r="I87" s="18"/>
      <c r="J87" s="260" t="s">
        <v>11</v>
      </c>
      <c r="K87" s="260"/>
      <c r="L87" s="260"/>
      <c r="M87" s="18"/>
      <c r="N87" s="18"/>
      <c r="O87" s="18"/>
      <c r="P87" s="102"/>
    </row>
    <row r="88" spans="2:16" x14ac:dyDescent="0.25">
      <c r="B88" s="147"/>
      <c r="C88" s="18"/>
      <c r="D88" s="18"/>
      <c r="E88" s="18"/>
      <c r="F88" s="18"/>
      <c r="G88" s="18"/>
      <c r="H88" s="53"/>
      <c r="I88" s="18"/>
      <c r="J88" s="260"/>
      <c r="K88" s="260"/>
      <c r="L88" s="260"/>
      <c r="M88" s="18"/>
      <c r="N88" s="46" t="s">
        <v>12</v>
      </c>
      <c r="O88" s="18"/>
      <c r="P88" s="102"/>
    </row>
    <row r="89" spans="2:16" x14ac:dyDescent="0.25">
      <c r="B89" s="98"/>
      <c r="C89" s="18"/>
      <c r="D89" s="18"/>
      <c r="E89" s="18"/>
      <c r="F89" s="18"/>
      <c r="G89" s="18"/>
      <c r="H89" s="30" t="s">
        <v>117</v>
      </c>
      <c r="I89" s="18"/>
      <c r="J89" s="18"/>
      <c r="K89" s="55"/>
      <c r="L89" s="18"/>
      <c r="M89" s="18"/>
      <c r="N89" s="55"/>
      <c r="O89" s="18"/>
      <c r="P89" s="102"/>
    </row>
    <row r="90" spans="2:16" ht="13.95" x14ac:dyDescent="0.25">
      <c r="B90" s="98"/>
      <c r="C90" s="18"/>
      <c r="D90" s="18"/>
      <c r="E90" s="18"/>
      <c r="F90" s="18"/>
      <c r="G90" s="18"/>
      <c r="H90" s="30" t="s">
        <v>118</v>
      </c>
      <c r="I90" s="18"/>
      <c r="J90" s="18"/>
      <c r="K90" s="55"/>
      <c r="L90" s="18"/>
      <c r="M90" s="18"/>
      <c r="N90" s="55"/>
      <c r="O90" s="18"/>
      <c r="P90" s="102"/>
    </row>
    <row r="91" spans="2:16" ht="13.95" x14ac:dyDescent="0.25">
      <c r="B91" s="98"/>
      <c r="C91" s="18"/>
      <c r="D91" s="18"/>
      <c r="E91" s="18"/>
      <c r="F91" s="18"/>
      <c r="G91" s="18"/>
      <c r="H91" s="30" t="s">
        <v>119</v>
      </c>
      <c r="I91" s="18"/>
      <c r="J91" s="18"/>
      <c r="K91" s="55"/>
      <c r="L91" s="18"/>
      <c r="M91" s="18"/>
      <c r="N91" s="55"/>
      <c r="O91" s="18"/>
      <c r="P91" s="102"/>
    </row>
    <row r="92" spans="2:16" ht="13.95" x14ac:dyDescent="0.25">
      <c r="B92" s="98"/>
      <c r="C92" s="18"/>
      <c r="D92" s="18"/>
      <c r="E92" s="18"/>
      <c r="F92" s="18"/>
      <c r="G92" s="18"/>
      <c r="H92" s="30" t="s">
        <v>13</v>
      </c>
      <c r="I92" s="18"/>
      <c r="J92" s="18"/>
      <c r="K92" s="55"/>
      <c r="L92" s="18"/>
      <c r="M92" s="18"/>
      <c r="N92" s="55"/>
      <c r="O92" s="18"/>
      <c r="P92" s="102"/>
    </row>
    <row r="93" spans="2:16" ht="7.5" customHeight="1" x14ac:dyDescent="0.25">
      <c r="B93" s="98"/>
      <c r="C93" s="18"/>
      <c r="D93" s="18"/>
      <c r="E93" s="18"/>
      <c r="F93" s="18"/>
      <c r="G93" s="18"/>
      <c r="H93" s="58"/>
      <c r="I93" s="18"/>
      <c r="J93" s="18"/>
      <c r="K93" s="18"/>
      <c r="L93" s="18"/>
      <c r="M93" s="18"/>
      <c r="N93" s="18"/>
      <c r="O93" s="18"/>
      <c r="P93" s="102"/>
    </row>
    <row r="94" spans="2:16" ht="13.95" x14ac:dyDescent="0.25">
      <c r="B94" s="98"/>
      <c r="C94" s="18"/>
      <c r="D94" s="18"/>
      <c r="E94" s="18"/>
      <c r="F94" s="18"/>
      <c r="G94" s="18"/>
      <c r="H94" s="31" t="s">
        <v>9</v>
      </c>
      <c r="I94" s="18"/>
      <c r="J94" s="18"/>
      <c r="K94" s="18"/>
      <c r="L94" s="18"/>
      <c r="M94" s="18"/>
      <c r="N94" s="55"/>
      <c r="O94" s="18"/>
      <c r="P94" s="102"/>
    </row>
    <row r="95" spans="2:16" ht="15.6" x14ac:dyDescent="0.25">
      <c r="B95" s="98"/>
      <c r="C95" s="61" t="s">
        <v>14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02"/>
    </row>
    <row r="96" spans="2:16" ht="18" customHeight="1" x14ac:dyDescent="0.25">
      <c r="B96" s="149"/>
      <c r="C96" s="230" t="s">
        <v>292</v>
      </c>
      <c r="D96" s="230"/>
      <c r="E96" s="230"/>
      <c r="F96" s="230"/>
      <c r="G96" s="52"/>
      <c r="H96" s="18"/>
      <c r="I96" s="18"/>
      <c r="J96" s="18"/>
      <c r="K96" s="81"/>
      <c r="L96" s="81"/>
      <c r="M96" s="81"/>
      <c r="N96" s="268" t="s">
        <v>120</v>
      </c>
      <c r="O96" s="18"/>
      <c r="P96" s="102"/>
    </row>
    <row r="97" spans="2:16" ht="18" customHeight="1" x14ac:dyDescent="0.25">
      <c r="B97" s="98"/>
      <c r="C97" s="230"/>
      <c r="D97" s="230"/>
      <c r="E97" s="230"/>
      <c r="F97" s="230"/>
      <c r="G97" s="52"/>
      <c r="H97" s="18"/>
      <c r="I97" s="18"/>
      <c r="J97" s="18"/>
      <c r="K97" s="115" t="s">
        <v>18</v>
      </c>
      <c r="L97" s="115" t="s">
        <v>19</v>
      </c>
      <c r="M97" s="115" t="s">
        <v>9</v>
      </c>
      <c r="N97" s="269"/>
      <c r="O97" s="18"/>
      <c r="P97" s="102"/>
    </row>
    <row r="98" spans="2:16" ht="18" customHeight="1" x14ac:dyDescent="0.25">
      <c r="B98" s="150"/>
      <c r="C98" s="230"/>
      <c r="D98" s="230"/>
      <c r="E98" s="230"/>
      <c r="F98" s="230"/>
      <c r="G98" s="52"/>
      <c r="H98" s="18"/>
      <c r="I98" s="30" t="s">
        <v>23</v>
      </c>
      <c r="J98" s="18"/>
      <c r="K98" s="47">
        <f>IF($E$44="","",VLOOKUP($E$44,Base!$A$3:$BS$40,26,FALSE))</f>
        <v>25</v>
      </c>
      <c r="L98" s="47">
        <f>IF($E$44="","",VLOOKUP($E$44,Base!$A$3:$BS$40,27,FALSE))</f>
        <v>27</v>
      </c>
      <c r="M98" s="47">
        <f>SUM(K98:L98)</f>
        <v>52</v>
      </c>
      <c r="N98" s="47">
        <f>IF($E$44="","",VLOOKUP($E$44,Base!$A$3:$BS$40,28,FALSE))</f>
        <v>0</v>
      </c>
      <c r="O98" s="18"/>
      <c r="P98" s="102"/>
    </row>
    <row r="99" spans="2:16" ht="18" customHeight="1" x14ac:dyDescent="0.25">
      <c r="B99" s="98"/>
      <c r="C99" s="230"/>
      <c r="D99" s="230"/>
      <c r="E99" s="230"/>
      <c r="F99" s="230"/>
      <c r="G99" s="52"/>
      <c r="H99" s="18"/>
      <c r="I99" s="30" t="s">
        <v>25</v>
      </c>
      <c r="J99" s="18"/>
      <c r="K99" s="47">
        <f>IF($E$44="","",VLOOKUP($E$44,Base!$A$3:$BS$40,29,FALSE))</f>
        <v>44</v>
      </c>
      <c r="L99" s="47">
        <f>IF($E$44="","",VLOOKUP($E$44,Base!$A$3:$BS$40,30,FALSE))</f>
        <v>81</v>
      </c>
      <c r="M99" s="47">
        <f>SUM(K99:L99)</f>
        <v>125</v>
      </c>
      <c r="N99" s="47">
        <f>IF($E$44="","",VLOOKUP($E$44,Base!$A$3:$BS$40,31,FALSE))</f>
        <v>1</v>
      </c>
      <c r="O99" s="18"/>
      <c r="P99" s="102"/>
    </row>
    <row r="100" spans="2:16" ht="13.95" x14ac:dyDescent="0.25">
      <c r="B100" s="147"/>
      <c r="C100" s="63" t="s">
        <v>15</v>
      </c>
      <c r="D100" s="18"/>
      <c r="E100" s="18"/>
      <c r="F100" s="18"/>
      <c r="G100" s="18"/>
      <c r="H100" s="18"/>
      <c r="I100" s="30" t="s">
        <v>26</v>
      </c>
      <c r="J100" s="18"/>
      <c r="K100" s="47">
        <f>IF($E$44="","",VLOOKUP($E$44,Base!$A$3:$BS$40,32,FALSE))</f>
        <v>33</v>
      </c>
      <c r="L100" s="47">
        <f>IF($E$44="","",VLOOKUP($E$44,Base!$A$3:$BS$40,33,FALSE))</f>
        <v>24</v>
      </c>
      <c r="M100" s="47">
        <f>SUM(K100:L100)</f>
        <v>57</v>
      </c>
      <c r="N100" s="47">
        <f>IF($E$44="","",VLOOKUP($E$44,Base!$A$3:$BS$40,34,FALSE))</f>
        <v>2</v>
      </c>
      <c r="O100" s="18"/>
      <c r="P100" s="102"/>
    </row>
    <row r="101" spans="2:16" x14ac:dyDescent="0.25">
      <c r="B101" s="98"/>
      <c r="C101" s="221" t="s">
        <v>16</v>
      </c>
      <c r="D101" s="221"/>
      <c r="E101" s="221"/>
      <c r="F101" s="221"/>
      <c r="G101" s="64"/>
      <c r="H101" s="18"/>
      <c r="I101" s="18"/>
      <c r="J101" s="18"/>
      <c r="K101" s="18"/>
      <c r="L101" s="18"/>
      <c r="M101" s="18"/>
      <c r="N101" s="18"/>
      <c r="O101" s="18"/>
      <c r="P101" s="102"/>
    </row>
    <row r="102" spans="2:16" x14ac:dyDescent="0.25">
      <c r="B102" s="98"/>
      <c r="C102" s="221"/>
      <c r="D102" s="221"/>
      <c r="E102" s="221"/>
      <c r="F102" s="221"/>
      <c r="G102" s="64"/>
      <c r="H102" s="18"/>
      <c r="I102" s="65" t="s">
        <v>17</v>
      </c>
      <c r="J102" s="66"/>
      <c r="K102" s="67">
        <f>SUM(K98:K100)</f>
        <v>102</v>
      </c>
      <c r="L102" s="67">
        <f>SUM(L98:L100)</f>
        <v>132</v>
      </c>
      <c r="M102" s="67">
        <f>SUM(M98:M100)</f>
        <v>234</v>
      </c>
      <c r="N102" s="67">
        <f>SUM(N98:N100)</f>
        <v>3</v>
      </c>
      <c r="O102" s="18"/>
      <c r="P102" s="102"/>
    </row>
    <row r="103" spans="2:16" ht="13.95" x14ac:dyDescent="0.25">
      <c r="B103" s="9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02"/>
    </row>
    <row r="104" spans="2:16" x14ac:dyDescent="0.25">
      <c r="B104" s="98"/>
      <c r="C104" s="68" t="s">
        <v>20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16" t="s">
        <v>315</v>
      </c>
      <c r="P104" s="102"/>
    </row>
    <row r="105" spans="2:16" ht="14.4" thickBot="1" x14ac:dyDescent="0.3">
      <c r="B105" s="139"/>
      <c r="C105" s="15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17" t="s">
        <v>316</v>
      </c>
      <c r="P105" s="142"/>
    </row>
    <row r="106" spans="2:16" ht="13.95" x14ac:dyDescent="0.25">
      <c r="C106" s="69"/>
    </row>
    <row r="107" spans="2:16" ht="14.4" thickBot="1" x14ac:dyDescent="0.3"/>
    <row r="108" spans="2:16" ht="11.25" customHeight="1" x14ac:dyDescent="0.25">
      <c r="B108" s="106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9"/>
      <c r="P108" s="113"/>
    </row>
    <row r="109" spans="2:16" ht="28.8" x14ac:dyDescent="0.25">
      <c r="B109" s="107"/>
      <c r="C109" s="75" t="s">
        <v>339</v>
      </c>
      <c r="D109" s="75"/>
      <c r="E109" s="75"/>
      <c r="F109" s="75"/>
      <c r="G109" s="75"/>
      <c r="H109" s="75"/>
      <c r="I109" s="18"/>
      <c r="J109" s="18"/>
      <c r="K109" s="75" t="s">
        <v>383</v>
      </c>
      <c r="L109" s="75"/>
      <c r="M109" s="75"/>
      <c r="N109" s="75"/>
      <c r="O109" s="105" t="s">
        <v>313</v>
      </c>
      <c r="P109" s="114"/>
    </row>
    <row r="110" spans="2:16" ht="10.5" customHeight="1" x14ac:dyDescent="0.25">
      <c r="B110" s="107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1"/>
      <c r="P110" s="112"/>
    </row>
    <row r="111" spans="2:16" ht="15.75" customHeight="1" x14ac:dyDescent="0.25">
      <c r="B111" s="98"/>
      <c r="C111" s="270" t="s">
        <v>21</v>
      </c>
      <c r="D111" s="270"/>
      <c r="E111" s="270"/>
      <c r="F111" s="270"/>
      <c r="G111" s="51"/>
      <c r="H111" s="18"/>
      <c r="I111" s="18"/>
      <c r="J111" s="18"/>
      <c r="K111" s="18"/>
      <c r="L111" s="18"/>
      <c r="M111" s="18"/>
      <c r="N111" s="18"/>
      <c r="O111" s="54"/>
      <c r="P111" s="102"/>
    </row>
    <row r="112" spans="2:16" ht="15.6" x14ac:dyDescent="0.25">
      <c r="B112" s="147"/>
      <c r="C112" s="270"/>
      <c r="D112" s="270"/>
      <c r="E112" s="270"/>
      <c r="F112" s="270"/>
      <c r="G112" s="51"/>
      <c r="H112" s="18"/>
      <c r="I112" s="18"/>
      <c r="J112" s="18"/>
      <c r="K112" s="18"/>
      <c r="L112" s="18"/>
      <c r="M112" s="18"/>
      <c r="N112" s="18"/>
      <c r="O112" s="18"/>
      <c r="P112" s="102"/>
    </row>
    <row r="113" spans="2:16" ht="15.6" x14ac:dyDescent="0.25">
      <c r="B113" s="147"/>
      <c r="C113" s="270"/>
      <c r="D113" s="270"/>
      <c r="E113" s="270"/>
      <c r="F113" s="270"/>
      <c r="G113" s="51"/>
      <c r="H113" s="18"/>
      <c r="I113" s="18"/>
      <c r="J113" s="18"/>
      <c r="K113" s="18"/>
      <c r="L113" s="18"/>
      <c r="M113" s="18"/>
      <c r="N113" s="18"/>
      <c r="O113" s="271" t="s">
        <v>120</v>
      </c>
      <c r="P113" s="102"/>
    </row>
    <row r="114" spans="2:16" x14ac:dyDescent="0.25">
      <c r="B114" s="98"/>
      <c r="C114" s="18"/>
      <c r="D114" s="18"/>
      <c r="E114" s="18"/>
      <c r="F114" s="18"/>
      <c r="G114" s="18"/>
      <c r="H114" s="18"/>
      <c r="I114" s="18"/>
      <c r="J114" s="18"/>
      <c r="K114" s="18"/>
      <c r="L114" s="62" t="s">
        <v>18</v>
      </c>
      <c r="M114" s="62" t="s">
        <v>19</v>
      </c>
      <c r="N114" s="62" t="s">
        <v>9</v>
      </c>
      <c r="O114" s="271"/>
      <c r="P114" s="102"/>
    </row>
    <row r="115" spans="2:16" ht="17.25" customHeight="1" x14ac:dyDescent="0.25">
      <c r="B115" s="98"/>
      <c r="C115" s="230" t="s">
        <v>293</v>
      </c>
      <c r="D115" s="230"/>
      <c r="E115" s="230"/>
      <c r="F115" s="230"/>
      <c r="G115" s="52"/>
      <c r="H115" s="41" t="s">
        <v>23</v>
      </c>
      <c r="I115" s="18"/>
      <c r="J115" s="18"/>
      <c r="K115" s="18"/>
      <c r="L115" s="47">
        <f>IF($E$44="","",VLOOKUP($E$44,Base!$A$3:$BS$40,35,FALSE))</f>
        <v>14</v>
      </c>
      <c r="M115" s="47">
        <f>IF($E$44="","",VLOOKUP($E$44,Base!$A$3:$BS$40,36,FALSE))</f>
        <v>15</v>
      </c>
      <c r="N115" s="47">
        <f>SUM(L115:M115)</f>
        <v>29</v>
      </c>
      <c r="O115" s="47">
        <f>IF($E$44="","",VLOOKUP($E$44,Base!$A$3:$BS$40,37,FALSE))</f>
        <v>0</v>
      </c>
      <c r="P115" s="102"/>
    </row>
    <row r="116" spans="2:16" ht="17.25" customHeight="1" x14ac:dyDescent="0.25">
      <c r="B116" s="148"/>
      <c r="C116" s="230"/>
      <c r="D116" s="230"/>
      <c r="E116" s="230"/>
      <c r="F116" s="230"/>
      <c r="G116" s="52"/>
      <c r="H116" s="30" t="s">
        <v>294</v>
      </c>
      <c r="I116" s="18"/>
      <c r="J116" s="18"/>
      <c r="K116" s="18"/>
      <c r="L116" s="47">
        <f>IF($E$44="","",VLOOKUP($E$44,Base!$A$3:$BS$40,38,FALSE))</f>
        <v>440</v>
      </c>
      <c r="M116" s="47">
        <f>IF($E$44="","",VLOOKUP($E$44,Base!$A$3:$BS$40,39,FALSE))</f>
        <v>431</v>
      </c>
      <c r="N116" s="47">
        <f t="shared" ref="N116:N121" si="0">SUM(L116:M116)</f>
        <v>871</v>
      </c>
      <c r="O116" s="47">
        <f>IF($E$44="","",VLOOKUP($E$44,Base!$A$3:$BS$40,40,FALSE))</f>
        <v>15</v>
      </c>
      <c r="P116" s="102"/>
    </row>
    <row r="117" spans="2:16" ht="17.25" customHeight="1" x14ac:dyDescent="0.25">
      <c r="B117" s="147"/>
      <c r="C117" s="230"/>
      <c r="D117" s="230"/>
      <c r="E117" s="230"/>
      <c r="F117" s="230"/>
      <c r="G117" s="52"/>
      <c r="H117" s="30" t="s">
        <v>56</v>
      </c>
      <c r="I117" s="18"/>
      <c r="J117" s="18"/>
      <c r="K117" s="18"/>
      <c r="L117" s="47">
        <f>IF($E$44="","",VLOOKUP($E$44,Base!$A$3:$BS$40,41,FALSE))</f>
        <v>60</v>
      </c>
      <c r="M117" s="47">
        <f>IF($E$44="","",VLOOKUP($E$44,Base!$A$3:$BS$40,42,FALSE))</f>
        <v>24</v>
      </c>
      <c r="N117" s="47">
        <f t="shared" si="0"/>
        <v>84</v>
      </c>
      <c r="O117" s="47" t="str">
        <f>IF($E$44="","",VLOOKUP($E$44,Base!$A$3:$BS$40,43,FALSE))</f>
        <v xml:space="preserve"> </v>
      </c>
      <c r="P117" s="102"/>
    </row>
    <row r="118" spans="2:16" ht="17.25" customHeight="1" x14ac:dyDescent="0.25">
      <c r="B118" s="147"/>
      <c r="C118" s="230"/>
      <c r="D118" s="230"/>
      <c r="E118" s="230"/>
      <c r="F118" s="230"/>
      <c r="G118" s="52"/>
      <c r="H118" s="30" t="s">
        <v>57</v>
      </c>
      <c r="I118" s="18"/>
      <c r="J118" s="18"/>
      <c r="K118" s="18"/>
      <c r="L118" s="47" t="str">
        <f>IF($E$44="","",VLOOKUP($E$44,Base!$A$3:$BS$40,44,FALSE))</f>
        <v xml:space="preserve"> </v>
      </c>
      <c r="M118" s="47" t="str">
        <f>IF($E$44="","",VLOOKUP($E$44,Base!$A$3:$BS$40,45,FALSE))</f>
        <v xml:space="preserve"> </v>
      </c>
      <c r="N118" s="47">
        <f t="shared" si="0"/>
        <v>0</v>
      </c>
      <c r="O118" s="47" t="str">
        <f>IF($E$44="","",VLOOKUP($E$44,Base!$A$3:$BS$40,46,FALSE))</f>
        <v xml:space="preserve"> </v>
      </c>
      <c r="P118" s="102"/>
    </row>
    <row r="119" spans="2:16" ht="17.25" customHeight="1" x14ac:dyDescent="0.25">
      <c r="B119" s="98"/>
      <c r="C119" s="63" t="s">
        <v>15</v>
      </c>
      <c r="D119" s="18"/>
      <c r="E119" s="18"/>
      <c r="F119" s="18"/>
      <c r="G119" s="18"/>
      <c r="H119" s="39" t="s">
        <v>24</v>
      </c>
      <c r="I119" s="18"/>
      <c r="J119" s="18"/>
      <c r="K119" s="18"/>
      <c r="L119" s="47" t="str">
        <f>IF($E$44="","",VLOOKUP($E$44,Base!$A$3:$BS$40,47,FALSE))</f>
        <v xml:space="preserve"> </v>
      </c>
      <c r="M119" s="47" t="str">
        <f>IF($E$44="","",VLOOKUP($E$44,Base!$A$3:$BS$40,48,FALSE))</f>
        <v xml:space="preserve"> </v>
      </c>
      <c r="N119" s="47">
        <f t="shared" si="0"/>
        <v>0</v>
      </c>
      <c r="O119" s="47" t="str">
        <f>IF($E$44="","",VLOOKUP($E$44,Base!$A$3:$BS$40,49,FALSE))</f>
        <v xml:space="preserve"> </v>
      </c>
      <c r="P119" s="102"/>
    </row>
    <row r="120" spans="2:16" ht="17.25" customHeight="1" x14ac:dyDescent="0.25">
      <c r="B120" s="147"/>
      <c r="C120" s="230" t="s">
        <v>22</v>
      </c>
      <c r="D120" s="230"/>
      <c r="E120" s="230"/>
      <c r="F120" s="230"/>
      <c r="G120" s="52"/>
      <c r="H120" s="39" t="s">
        <v>25</v>
      </c>
      <c r="I120" s="18"/>
      <c r="J120" s="18"/>
      <c r="K120" s="18"/>
      <c r="L120" s="47">
        <f>IF($E$44="","",VLOOKUP($E$44,Base!$A$3:$BS$40,50,FALSE))</f>
        <v>20</v>
      </c>
      <c r="M120" s="47">
        <f>IF($E$44="","",VLOOKUP($E$44,Base!$A$3:$BS$40,51,FALSE))</f>
        <v>55</v>
      </c>
      <c r="N120" s="47">
        <f t="shared" si="0"/>
        <v>75</v>
      </c>
      <c r="O120" s="47">
        <f>IF($E$44="","",VLOOKUP($E$44,Base!$A$3:$BS$40,52,FALSE))</f>
        <v>2</v>
      </c>
      <c r="P120" s="102"/>
    </row>
    <row r="121" spans="2:16" ht="17.25" customHeight="1" x14ac:dyDescent="0.25">
      <c r="B121" s="98"/>
      <c r="C121" s="230"/>
      <c r="D121" s="230"/>
      <c r="E121" s="230"/>
      <c r="F121" s="230"/>
      <c r="G121" s="52"/>
      <c r="H121" s="41" t="s">
        <v>26</v>
      </c>
      <c r="I121" s="18"/>
      <c r="J121" s="18"/>
      <c r="K121" s="18"/>
      <c r="L121" s="47">
        <f>IF($E$44="","",VLOOKUP($E$44,Base!$A$3:$BS$40,53,FALSE))</f>
        <v>29</v>
      </c>
      <c r="M121" s="47">
        <f>IF($E$44="","",VLOOKUP($E$44,Base!$A$3:$BS$40,54,FALSE))</f>
        <v>21</v>
      </c>
      <c r="N121" s="47">
        <f t="shared" si="0"/>
        <v>50</v>
      </c>
      <c r="O121" s="47">
        <f>IF($E$44="","",VLOOKUP($E$44,Base!$A$3:$BS$40,55,FALSE))</f>
        <v>2</v>
      </c>
      <c r="P121" s="102"/>
    </row>
    <row r="122" spans="2:16" ht="15" customHeight="1" x14ac:dyDescent="0.25">
      <c r="B122" s="98"/>
      <c r="C122" s="230" t="s">
        <v>121</v>
      </c>
      <c r="D122" s="230"/>
      <c r="E122" s="230"/>
      <c r="F122" s="230"/>
      <c r="G122" s="52"/>
      <c r="H122" s="18"/>
      <c r="I122" s="18"/>
      <c r="J122" s="18"/>
      <c r="K122" s="18"/>
      <c r="L122" s="18"/>
      <c r="M122" s="18"/>
      <c r="N122" s="18"/>
      <c r="O122" s="18"/>
      <c r="P122" s="102"/>
    </row>
    <row r="123" spans="2:16" ht="15" customHeight="1" x14ac:dyDescent="0.25">
      <c r="B123" s="152"/>
      <c r="C123" s="230"/>
      <c r="D123" s="230"/>
      <c r="E123" s="230"/>
      <c r="F123" s="230"/>
      <c r="G123" s="52"/>
      <c r="H123" s="272" t="s">
        <v>317</v>
      </c>
      <c r="I123" s="272"/>
      <c r="J123" s="272"/>
      <c r="K123" s="272"/>
      <c r="L123" s="18"/>
      <c r="M123" s="18"/>
      <c r="N123" s="18"/>
      <c r="O123" s="18"/>
      <c r="P123" s="102"/>
    </row>
    <row r="124" spans="2:16" ht="15" customHeight="1" x14ac:dyDescent="0.25">
      <c r="B124" s="98"/>
      <c r="C124" s="230"/>
      <c r="D124" s="230"/>
      <c r="E124" s="230"/>
      <c r="F124" s="230"/>
      <c r="G124" s="52"/>
      <c r="H124" s="272"/>
      <c r="I124" s="272"/>
      <c r="J124" s="272"/>
      <c r="K124" s="272"/>
      <c r="L124" s="47">
        <f>SUM(L115:L121)</f>
        <v>563</v>
      </c>
      <c r="M124" s="47">
        <f>SUM(M115:M121)</f>
        <v>546</v>
      </c>
      <c r="N124" s="56">
        <f>SUM(N115:N121)</f>
        <v>1109</v>
      </c>
      <c r="O124" s="47">
        <f>SUM(O115:O121)</f>
        <v>19</v>
      </c>
      <c r="P124" s="102"/>
    </row>
    <row r="125" spans="2:16" x14ac:dyDescent="0.25">
      <c r="B125" s="98"/>
      <c r="C125" s="18"/>
      <c r="D125" s="18"/>
      <c r="E125" s="18"/>
      <c r="F125" s="18"/>
      <c r="G125" s="18"/>
      <c r="H125" s="272"/>
      <c r="I125" s="272"/>
      <c r="J125" s="272"/>
      <c r="K125" s="272"/>
      <c r="L125" s="18"/>
      <c r="M125" s="18"/>
      <c r="N125" s="59"/>
      <c r="O125" s="18"/>
      <c r="P125" s="102"/>
    </row>
    <row r="126" spans="2:16" x14ac:dyDescent="0.25">
      <c r="B126" s="147"/>
      <c r="C126" s="18"/>
      <c r="D126" s="18"/>
      <c r="E126" s="18"/>
      <c r="F126" s="18"/>
      <c r="G126" s="18"/>
      <c r="H126" s="272"/>
      <c r="I126" s="272"/>
      <c r="J126" s="272"/>
      <c r="K126" s="272"/>
      <c r="L126" s="18"/>
      <c r="M126" s="18"/>
      <c r="N126" s="59"/>
      <c r="O126" s="18"/>
      <c r="P126" s="102"/>
    </row>
    <row r="127" spans="2:16" ht="15" customHeight="1" x14ac:dyDescent="0.25">
      <c r="B127" s="147"/>
      <c r="C127" s="18"/>
      <c r="D127" s="18"/>
      <c r="E127" s="18"/>
      <c r="F127" s="18"/>
      <c r="G127" s="18"/>
      <c r="H127" s="272" t="s">
        <v>318</v>
      </c>
      <c r="I127" s="272"/>
      <c r="J127" s="272"/>
      <c r="K127" s="272"/>
      <c r="L127" s="18"/>
      <c r="M127" s="18"/>
      <c r="N127" s="59"/>
      <c r="O127" s="18"/>
      <c r="P127" s="102"/>
    </row>
    <row r="128" spans="2:16" x14ac:dyDescent="0.25">
      <c r="B128" s="147"/>
      <c r="C128" s="18"/>
      <c r="D128" s="18"/>
      <c r="E128" s="18"/>
      <c r="F128" s="18"/>
      <c r="G128" s="18"/>
      <c r="H128" s="272"/>
      <c r="I128" s="272"/>
      <c r="J128" s="272"/>
      <c r="K128" s="272"/>
      <c r="L128" s="47">
        <f>+K102+L124</f>
        <v>665</v>
      </c>
      <c r="M128" s="47">
        <f>+L102+M124</f>
        <v>678</v>
      </c>
      <c r="N128" s="56">
        <f>+M102+N124</f>
        <v>1343</v>
      </c>
      <c r="O128" s="47">
        <f>+N102+O124</f>
        <v>22</v>
      </c>
      <c r="P128" s="102"/>
    </row>
    <row r="129" spans="2:16" x14ac:dyDescent="0.25">
      <c r="B129" s="147"/>
      <c r="C129" s="18"/>
      <c r="D129" s="18"/>
      <c r="E129" s="18"/>
      <c r="F129" s="18"/>
      <c r="G129" s="18"/>
      <c r="H129" s="272"/>
      <c r="I129" s="272"/>
      <c r="J129" s="272"/>
      <c r="K129" s="272"/>
      <c r="L129" s="18"/>
      <c r="M129" s="18"/>
      <c r="N129" s="18"/>
      <c r="O129" s="18"/>
      <c r="P129" s="102"/>
    </row>
    <row r="130" spans="2:16" x14ac:dyDescent="0.25">
      <c r="B130" s="147"/>
      <c r="C130" s="18"/>
      <c r="D130" s="18"/>
      <c r="E130" s="18"/>
      <c r="F130" s="18"/>
      <c r="G130" s="18"/>
      <c r="H130" s="272"/>
      <c r="I130" s="272"/>
      <c r="J130" s="272"/>
      <c r="K130" s="272"/>
      <c r="L130" s="18"/>
      <c r="M130" s="18"/>
      <c r="N130" s="18"/>
      <c r="O130" s="18"/>
      <c r="P130" s="102"/>
    </row>
    <row r="131" spans="2:16" x14ac:dyDescent="0.25">
      <c r="B131" s="147"/>
      <c r="C131" s="18"/>
      <c r="D131" s="18"/>
      <c r="E131" s="18"/>
      <c r="F131" s="18"/>
      <c r="G131" s="18"/>
      <c r="H131" s="70"/>
      <c r="I131" s="70"/>
      <c r="J131" s="70"/>
      <c r="K131" s="70"/>
      <c r="L131" s="18"/>
      <c r="M131" s="18"/>
      <c r="N131" s="18"/>
      <c r="O131" s="18"/>
      <c r="P131" s="102"/>
    </row>
    <row r="132" spans="2:16" x14ac:dyDescent="0.25">
      <c r="B132" s="147"/>
      <c r="C132" s="18"/>
      <c r="D132" s="18"/>
      <c r="E132" s="18"/>
      <c r="F132" s="18"/>
      <c r="G132" s="18"/>
      <c r="H132" s="70"/>
      <c r="I132" s="70"/>
      <c r="J132" s="70"/>
      <c r="K132" s="70"/>
      <c r="L132" s="18"/>
      <c r="M132" s="18"/>
      <c r="N132" s="18"/>
      <c r="O132" s="18"/>
      <c r="P132" s="102"/>
    </row>
    <row r="133" spans="2:16" ht="17.25" customHeight="1" x14ac:dyDescent="0.25">
      <c r="B133" s="153"/>
      <c r="C133" s="221" t="s">
        <v>384</v>
      </c>
      <c r="D133" s="221"/>
      <c r="E133" s="221"/>
      <c r="F133" s="221"/>
      <c r="G133" s="18"/>
      <c r="H133" s="63" t="s">
        <v>27</v>
      </c>
      <c r="I133" s="18"/>
      <c r="J133" s="18"/>
      <c r="K133" s="226" t="s">
        <v>28</v>
      </c>
      <c r="L133" s="226"/>
      <c r="M133" s="226"/>
      <c r="N133" s="18"/>
      <c r="O133" s="18"/>
      <c r="P133" s="102"/>
    </row>
    <row r="134" spans="2:16" ht="17.25" customHeight="1" x14ac:dyDescent="0.25">
      <c r="B134" s="98"/>
      <c r="C134" s="221"/>
      <c r="D134" s="221"/>
      <c r="E134" s="221"/>
      <c r="F134" s="221"/>
      <c r="G134" s="18"/>
      <c r="H134" s="71" t="s">
        <v>29</v>
      </c>
      <c r="I134" s="18"/>
      <c r="J134" s="18"/>
      <c r="K134" s="18"/>
      <c r="L134" s="47" t="str">
        <f>IF($E$44="","",VLOOKUP($E$44,Base!$A$3:$BS$40,56,FALSE))</f>
        <v xml:space="preserve"> </v>
      </c>
      <c r="M134" s="18"/>
      <c r="N134" s="18"/>
      <c r="O134" s="18"/>
      <c r="P134" s="102"/>
    </row>
    <row r="135" spans="2:16" ht="17.25" customHeight="1" x14ac:dyDescent="0.25">
      <c r="B135" s="98"/>
      <c r="C135" s="221"/>
      <c r="D135" s="221"/>
      <c r="E135" s="221"/>
      <c r="F135" s="221"/>
      <c r="G135" s="18"/>
      <c r="H135" s="71" t="s">
        <v>30</v>
      </c>
      <c r="I135" s="18"/>
      <c r="J135" s="18"/>
      <c r="K135" s="18"/>
      <c r="L135" s="47" t="str">
        <f>IF($E$44="","",VLOOKUP($E$44,Base!$A$3:$BS$40,57,FALSE))</f>
        <v xml:space="preserve"> </v>
      </c>
      <c r="M135" s="18"/>
      <c r="N135" s="18"/>
      <c r="O135" s="18"/>
      <c r="P135" s="102"/>
    </row>
    <row r="136" spans="2:16" ht="17.25" customHeight="1" x14ac:dyDescent="0.25">
      <c r="B136" s="154"/>
      <c r="C136" s="221"/>
      <c r="D136" s="221"/>
      <c r="E136" s="221"/>
      <c r="F136" s="221"/>
      <c r="G136" s="18"/>
      <c r="H136" s="71" t="s">
        <v>31</v>
      </c>
      <c r="I136" s="18"/>
      <c r="J136" s="18"/>
      <c r="K136" s="18"/>
      <c r="L136" s="47" t="str">
        <f>IF($E$44="","",VLOOKUP($E$44,Base!$A$3:$BS$40,58,FALSE))</f>
        <v xml:space="preserve"> </v>
      </c>
      <c r="M136" s="18"/>
      <c r="N136" s="18"/>
      <c r="O136" s="18"/>
      <c r="P136" s="102"/>
    </row>
    <row r="137" spans="2:16" ht="17.25" customHeight="1" x14ac:dyDescent="0.25">
      <c r="B137" s="98"/>
      <c r="C137" s="18"/>
      <c r="D137" s="18"/>
      <c r="E137" s="18"/>
      <c r="F137" s="18"/>
      <c r="G137" s="18"/>
      <c r="H137" s="71" t="s">
        <v>32</v>
      </c>
      <c r="I137" s="18"/>
      <c r="J137" s="18"/>
      <c r="K137" s="18"/>
      <c r="L137" s="47" t="str">
        <f>IF($E$44="","",VLOOKUP($E$44,Base!$A$3:$BS$40,59,FALSE))</f>
        <v xml:space="preserve"> </v>
      </c>
      <c r="M137" s="18"/>
      <c r="N137" s="18"/>
      <c r="O137" s="18"/>
      <c r="P137" s="102"/>
    </row>
    <row r="138" spans="2:16" ht="17.25" customHeight="1" x14ac:dyDescent="0.25">
      <c r="B138" s="146"/>
      <c r="C138" s="18"/>
      <c r="D138" s="18"/>
      <c r="E138" s="18"/>
      <c r="F138" s="18"/>
      <c r="G138" s="18"/>
      <c r="H138" s="71" t="s">
        <v>33</v>
      </c>
      <c r="I138" s="18"/>
      <c r="J138" s="18"/>
      <c r="K138" s="18"/>
      <c r="L138" s="47" t="str">
        <f>IF($E$44="","",VLOOKUP($E$44,Base!$A$3:$BS$40,60,FALSE))</f>
        <v xml:space="preserve"> </v>
      </c>
      <c r="M138" s="18"/>
      <c r="N138" s="18"/>
      <c r="O138" s="18"/>
      <c r="P138" s="102"/>
    </row>
    <row r="139" spans="2:16" ht="17.25" customHeight="1" x14ac:dyDescent="0.25">
      <c r="B139" s="98"/>
      <c r="C139" s="18"/>
      <c r="D139" s="18"/>
      <c r="E139" s="18"/>
      <c r="F139" s="18"/>
      <c r="G139" s="18"/>
      <c r="H139" s="71" t="s">
        <v>34</v>
      </c>
      <c r="I139" s="18"/>
      <c r="J139" s="18"/>
      <c r="K139" s="18"/>
      <c r="L139" s="47" t="str">
        <f>IF($E$44="","",VLOOKUP($E$44,Base!$A$3:$BS$40,61,FALSE))</f>
        <v xml:space="preserve"> </v>
      </c>
      <c r="M139" s="18"/>
      <c r="N139" s="18"/>
      <c r="O139" s="18"/>
      <c r="P139" s="102"/>
    </row>
    <row r="140" spans="2:16" ht="17.25" customHeight="1" x14ac:dyDescent="0.25">
      <c r="B140" s="98"/>
      <c r="C140" s="18"/>
      <c r="D140" s="18"/>
      <c r="E140" s="18"/>
      <c r="F140" s="18"/>
      <c r="G140" s="18"/>
      <c r="H140" s="40"/>
      <c r="I140" s="18"/>
      <c r="J140" s="18"/>
      <c r="K140" s="18"/>
      <c r="L140" s="18"/>
      <c r="M140" s="18"/>
      <c r="N140" s="18"/>
      <c r="O140" s="18"/>
      <c r="P140" s="102"/>
    </row>
    <row r="141" spans="2:16" ht="17.25" customHeight="1" x14ac:dyDescent="0.25">
      <c r="B141" s="98"/>
      <c r="C141" s="18"/>
      <c r="D141" s="18"/>
      <c r="E141" s="18"/>
      <c r="F141" s="18"/>
      <c r="G141" s="18"/>
      <c r="H141" s="63" t="s">
        <v>9</v>
      </c>
      <c r="I141" s="18"/>
      <c r="J141" s="18"/>
      <c r="K141" s="18"/>
      <c r="L141" s="47">
        <f>SUM(L134:L139)</f>
        <v>0</v>
      </c>
      <c r="M141" s="18"/>
      <c r="N141" s="18"/>
      <c r="O141" s="116" t="s">
        <v>319</v>
      </c>
      <c r="P141" s="102"/>
    </row>
    <row r="142" spans="2:16" ht="14.4" thickBot="1" x14ac:dyDescent="0.3">
      <c r="B142" s="139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17" t="s">
        <v>316</v>
      </c>
      <c r="P142" s="142"/>
    </row>
    <row r="144" spans="2:16" ht="14.4" thickBot="1" x14ac:dyDescent="0.3"/>
    <row r="145" spans="2:16" ht="9" customHeight="1" x14ac:dyDescent="0.25">
      <c r="B145" s="106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9"/>
      <c r="P145" s="113"/>
    </row>
    <row r="146" spans="2:16" ht="28.8" x14ac:dyDescent="0.25">
      <c r="B146" s="107"/>
      <c r="C146" s="75" t="s">
        <v>339</v>
      </c>
      <c r="D146" s="75"/>
      <c r="E146" s="75"/>
      <c r="F146" s="75"/>
      <c r="G146" s="75"/>
      <c r="H146" s="75"/>
      <c r="I146" s="18"/>
      <c r="J146" s="18"/>
      <c r="K146" s="75" t="s">
        <v>383</v>
      </c>
      <c r="L146" s="75"/>
      <c r="M146" s="75"/>
      <c r="N146" s="75"/>
      <c r="O146" s="105" t="s">
        <v>313</v>
      </c>
      <c r="P146" s="114"/>
    </row>
    <row r="147" spans="2:16" ht="10.5" customHeight="1" x14ac:dyDescent="0.25">
      <c r="B147" s="107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1"/>
      <c r="P147" s="112"/>
    </row>
    <row r="148" spans="2:16" x14ac:dyDescent="0.25">
      <c r="B148" s="9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54"/>
      <c r="P148" s="102"/>
    </row>
    <row r="149" spans="2:16" ht="15.6" x14ac:dyDescent="0.25">
      <c r="B149" s="98"/>
      <c r="C149" s="61" t="s">
        <v>35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02"/>
    </row>
    <row r="150" spans="2:16" x14ac:dyDescent="0.25">
      <c r="B150" s="98"/>
      <c r="C150" s="230" t="s">
        <v>385</v>
      </c>
      <c r="D150" s="230"/>
      <c r="E150" s="230"/>
      <c r="F150" s="230"/>
      <c r="G150" s="18"/>
      <c r="H150" s="18"/>
      <c r="I150" s="18"/>
      <c r="J150" s="18"/>
      <c r="K150" s="18"/>
      <c r="L150" s="251" t="s">
        <v>36</v>
      </c>
      <c r="M150" s="251"/>
      <c r="N150" s="18"/>
      <c r="O150" s="18"/>
      <c r="P150" s="102"/>
    </row>
    <row r="151" spans="2:16" ht="19.5" customHeight="1" x14ac:dyDescent="0.25">
      <c r="B151" s="98"/>
      <c r="C151" s="230"/>
      <c r="D151" s="230"/>
      <c r="E151" s="230"/>
      <c r="F151" s="230"/>
      <c r="G151" s="18"/>
      <c r="H151" s="18"/>
      <c r="I151" s="18"/>
      <c r="J151" s="39" t="s">
        <v>122</v>
      </c>
      <c r="K151" s="18"/>
      <c r="L151" s="222">
        <f>IF($E$44="","",VLOOKUP($E$44,Base!$A$3:$BS$40,63,FALSE))</f>
        <v>0</v>
      </c>
      <c r="M151" s="223"/>
      <c r="N151" s="18"/>
      <c r="O151" s="18"/>
      <c r="P151" s="102"/>
    </row>
    <row r="152" spans="2:16" ht="19.5" customHeight="1" x14ac:dyDescent="0.25">
      <c r="B152" s="98"/>
      <c r="C152" s="119"/>
      <c r="D152" s="119"/>
      <c r="E152" s="119"/>
      <c r="F152" s="119"/>
      <c r="G152" s="18"/>
      <c r="H152" s="18"/>
      <c r="I152" s="18"/>
      <c r="J152" s="39" t="s">
        <v>123</v>
      </c>
      <c r="K152" s="18"/>
      <c r="L152" s="222">
        <f>IF($E$44="","",VLOOKUP($E$44,Base!$A$3:$BS$40,64,FALSE))</f>
        <v>0</v>
      </c>
      <c r="M152" s="223"/>
      <c r="N152" s="18"/>
      <c r="O152" s="18"/>
      <c r="P152" s="102"/>
    </row>
    <row r="153" spans="2:16" ht="19.5" customHeight="1" x14ac:dyDescent="0.25">
      <c r="B153" s="98"/>
      <c r="C153" s="119"/>
      <c r="D153" s="119"/>
      <c r="E153" s="119"/>
      <c r="F153" s="119"/>
      <c r="G153" s="18"/>
      <c r="H153" s="18"/>
      <c r="I153" s="18"/>
      <c r="J153" s="39" t="s">
        <v>124</v>
      </c>
      <c r="K153" s="18"/>
      <c r="L153" s="222">
        <f>IF($E$44="","",VLOOKUP($E$44,Base!$A$3:$BS$40,65,FALSE))</f>
        <v>0</v>
      </c>
      <c r="M153" s="223"/>
      <c r="N153" s="18"/>
      <c r="O153" s="18"/>
      <c r="P153" s="102"/>
    </row>
    <row r="154" spans="2:16" ht="19.5" customHeight="1" x14ac:dyDescent="0.25">
      <c r="B154" s="147"/>
      <c r="C154" s="119"/>
      <c r="D154" s="119"/>
      <c r="E154" s="119"/>
      <c r="F154" s="119"/>
      <c r="G154" s="18"/>
      <c r="H154" s="18"/>
      <c r="I154" s="18"/>
      <c r="J154" s="41" t="s">
        <v>26</v>
      </c>
      <c r="K154" s="18"/>
      <c r="L154" s="222">
        <f>IF($E$44="","",VLOOKUP($E$44,Base!$A$3:$BS$40,66,FALSE))</f>
        <v>0</v>
      </c>
      <c r="M154" s="223"/>
      <c r="N154" s="18"/>
      <c r="O154" s="18"/>
      <c r="P154" s="102"/>
    </row>
    <row r="155" spans="2:16" ht="9.75" customHeight="1" x14ac:dyDescent="0.25">
      <c r="B155" s="155"/>
      <c r="C155" s="119"/>
      <c r="D155" s="119"/>
      <c r="E155" s="119"/>
      <c r="F155" s="119"/>
      <c r="G155" s="18"/>
      <c r="H155" s="18"/>
      <c r="I155" s="18"/>
      <c r="J155" s="18"/>
      <c r="K155" s="18"/>
      <c r="L155" s="59"/>
      <c r="M155" s="59"/>
      <c r="N155" s="18"/>
      <c r="O155" s="18"/>
      <c r="P155" s="102"/>
    </row>
    <row r="156" spans="2:16" ht="19.5" customHeight="1" x14ac:dyDescent="0.25">
      <c r="B156" s="98"/>
      <c r="C156" s="119"/>
      <c r="D156" s="119"/>
      <c r="E156" s="119"/>
      <c r="F156" s="119"/>
      <c r="G156" s="18"/>
      <c r="H156" s="18"/>
      <c r="I156" s="18"/>
      <c r="J156" s="72" t="s">
        <v>9</v>
      </c>
      <c r="K156" s="18"/>
      <c r="L156" s="222">
        <f>SUM(L151:M154)</f>
        <v>0</v>
      </c>
      <c r="M156" s="223"/>
      <c r="N156" s="18"/>
      <c r="O156" s="18"/>
      <c r="P156" s="102"/>
    </row>
    <row r="157" spans="2:16" x14ac:dyDescent="0.25">
      <c r="B157" s="98"/>
      <c r="C157" s="119"/>
      <c r="D157" s="119"/>
      <c r="E157" s="119"/>
      <c r="F157" s="119"/>
      <c r="G157" s="18"/>
      <c r="H157" s="18"/>
      <c r="I157" s="18"/>
      <c r="J157" s="18"/>
      <c r="K157" s="18"/>
      <c r="L157" s="18"/>
      <c r="M157" s="18"/>
      <c r="N157" s="18"/>
      <c r="O157" s="18"/>
      <c r="P157" s="102"/>
    </row>
    <row r="158" spans="2:16" x14ac:dyDescent="0.25">
      <c r="B158" s="98"/>
      <c r="C158" s="119"/>
      <c r="D158" s="119"/>
      <c r="E158" s="119"/>
      <c r="F158" s="119"/>
      <c r="G158" s="18"/>
      <c r="H158" s="18"/>
      <c r="I158" s="18"/>
      <c r="J158" s="18"/>
      <c r="K158" s="18"/>
      <c r="L158" s="18"/>
      <c r="M158" s="18"/>
      <c r="N158" s="18"/>
      <c r="O158" s="18"/>
      <c r="P158" s="102"/>
    </row>
    <row r="159" spans="2:16" x14ac:dyDescent="0.25">
      <c r="B159" s="147"/>
      <c r="C159" s="230" t="s">
        <v>386</v>
      </c>
      <c r="D159" s="230"/>
      <c r="E159" s="230"/>
      <c r="F159" s="230"/>
      <c r="G159" s="18"/>
      <c r="H159" s="18"/>
      <c r="I159" s="18"/>
      <c r="J159" s="18"/>
      <c r="K159" s="18"/>
      <c r="L159" s="280" t="s">
        <v>37</v>
      </c>
      <c r="M159" s="280"/>
      <c r="N159" s="18"/>
      <c r="O159" s="18"/>
      <c r="P159" s="102"/>
    </row>
    <row r="160" spans="2:16" ht="19.5" customHeight="1" x14ac:dyDescent="0.25">
      <c r="B160" s="147"/>
      <c r="C160" s="230"/>
      <c r="D160" s="230"/>
      <c r="E160" s="230"/>
      <c r="F160" s="230"/>
      <c r="G160" s="18"/>
      <c r="H160" s="18"/>
      <c r="I160" s="18"/>
      <c r="J160" s="39" t="s">
        <v>29</v>
      </c>
      <c r="K160" s="18"/>
      <c r="L160" s="222">
        <f>IF($E$44="","",VLOOKUP($E$44,Base!$A$3:$BS$40,67,FALSE))</f>
        <v>0</v>
      </c>
      <c r="M160" s="223"/>
      <c r="N160" s="18"/>
      <c r="O160" s="18"/>
      <c r="P160" s="102"/>
    </row>
    <row r="161" spans="2:16" ht="19.5" customHeight="1" x14ac:dyDescent="0.25">
      <c r="B161" s="98"/>
      <c r="C161" s="18"/>
      <c r="D161" s="18"/>
      <c r="E161" s="18"/>
      <c r="F161" s="18"/>
      <c r="G161" s="18"/>
      <c r="H161" s="18"/>
      <c r="I161" s="18"/>
      <c r="J161" s="39" t="s">
        <v>125</v>
      </c>
      <c r="K161" s="18"/>
      <c r="L161" s="222">
        <f>IF($E$44="","",VLOOKUP($E$44,Base!$A$3:$BS$40,68,FALSE))</f>
        <v>0</v>
      </c>
      <c r="M161" s="223"/>
      <c r="N161" s="18"/>
      <c r="O161" s="18"/>
      <c r="P161" s="102"/>
    </row>
    <row r="162" spans="2:16" ht="19.5" customHeight="1" x14ac:dyDescent="0.25">
      <c r="B162" s="147"/>
      <c r="C162" s="18"/>
      <c r="D162" s="18"/>
      <c r="E162" s="18"/>
      <c r="F162" s="18"/>
      <c r="G162" s="18"/>
      <c r="H162" s="18"/>
      <c r="I162" s="18"/>
      <c r="J162" s="39" t="s">
        <v>5</v>
      </c>
      <c r="K162" s="18"/>
      <c r="L162" s="222">
        <f>IF($E$44="","",VLOOKUP($E$44,Base!$A$3:$BS$40,69,FALSE))</f>
        <v>0</v>
      </c>
      <c r="M162" s="223"/>
      <c r="N162" s="18"/>
      <c r="O162" s="18"/>
      <c r="P162" s="102"/>
    </row>
    <row r="163" spans="2:16" ht="19.5" customHeight="1" x14ac:dyDescent="0.25">
      <c r="B163" s="147"/>
      <c r="C163" s="18"/>
      <c r="D163" s="18"/>
      <c r="E163" s="18"/>
      <c r="F163" s="18"/>
      <c r="G163" s="18"/>
      <c r="H163" s="18"/>
      <c r="I163" s="18"/>
      <c r="J163" s="39" t="s">
        <v>126</v>
      </c>
      <c r="K163" s="18"/>
      <c r="L163" s="222">
        <f>IF($E$44="","",VLOOKUP($E$44,Base!$A$3:$BS$40,70,FALSE))</f>
        <v>0</v>
      </c>
      <c r="M163" s="223"/>
      <c r="N163" s="18"/>
      <c r="O163" s="18"/>
      <c r="P163" s="102"/>
    </row>
    <row r="164" spans="2:16" ht="19.5" customHeight="1" x14ac:dyDescent="0.25">
      <c r="B164" s="147"/>
      <c r="C164" s="18"/>
      <c r="D164" s="18"/>
      <c r="E164" s="18"/>
      <c r="F164" s="18"/>
      <c r="G164" s="18"/>
      <c r="H164" s="18"/>
      <c r="I164" s="18"/>
      <c r="J164" s="39" t="s">
        <v>26</v>
      </c>
      <c r="K164" s="18"/>
      <c r="L164" s="222">
        <f>IF($E$44="","",VLOOKUP($E$44,Base!$A$3:$BS$40,71,FALSE))</f>
        <v>0</v>
      </c>
      <c r="M164" s="223"/>
      <c r="N164" s="18"/>
      <c r="O164" s="18"/>
      <c r="P164" s="102"/>
    </row>
    <row r="165" spans="2:16" ht="11.25" customHeight="1" x14ac:dyDescent="0.25">
      <c r="B165" s="147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02"/>
    </row>
    <row r="166" spans="2:16" ht="19.5" customHeight="1" x14ac:dyDescent="0.25">
      <c r="B166" s="152"/>
      <c r="C166" s="18"/>
      <c r="D166" s="18"/>
      <c r="E166" s="18"/>
      <c r="F166" s="18"/>
      <c r="G166" s="18"/>
      <c r="H166" s="18"/>
      <c r="I166" s="18"/>
      <c r="J166" s="31" t="s">
        <v>9</v>
      </c>
      <c r="K166" s="18"/>
      <c r="L166" s="222">
        <f>SUM(L160:M164)</f>
        <v>0</v>
      </c>
      <c r="M166" s="223"/>
      <c r="N166" s="18"/>
      <c r="O166" s="18"/>
      <c r="P166" s="102"/>
    </row>
    <row r="167" spans="2:16" x14ac:dyDescent="0.25">
      <c r="B167" s="152"/>
      <c r="C167" s="18"/>
      <c r="D167" s="18"/>
      <c r="E167" s="18"/>
      <c r="F167" s="18"/>
      <c r="G167" s="18"/>
      <c r="H167" s="18"/>
      <c r="I167" s="18"/>
      <c r="J167" s="31"/>
      <c r="K167" s="18"/>
      <c r="L167" s="33"/>
      <c r="M167" s="33"/>
      <c r="N167" s="18"/>
      <c r="O167" s="18"/>
      <c r="P167" s="102"/>
    </row>
    <row r="168" spans="2:16" x14ac:dyDescent="0.25">
      <c r="B168" s="152"/>
      <c r="C168" s="18"/>
      <c r="D168" s="18"/>
      <c r="E168" s="18"/>
      <c r="F168" s="18"/>
      <c r="G168" s="18"/>
      <c r="H168" s="18"/>
      <c r="I168" s="18"/>
      <c r="J168" s="31"/>
      <c r="K168" s="18"/>
      <c r="L168" s="33"/>
      <c r="M168" s="33"/>
      <c r="N168" s="18"/>
      <c r="O168" s="18"/>
      <c r="P168" s="102"/>
    </row>
    <row r="169" spans="2:16" x14ac:dyDescent="0.25">
      <c r="B169" s="152"/>
      <c r="C169" s="18"/>
      <c r="D169" s="18"/>
      <c r="E169" s="18"/>
      <c r="F169" s="18"/>
      <c r="G169" s="18"/>
      <c r="H169" s="18"/>
      <c r="I169" s="18"/>
      <c r="J169" s="31"/>
      <c r="K169" s="18"/>
      <c r="L169" s="33"/>
      <c r="M169" s="33"/>
      <c r="N169" s="18"/>
      <c r="O169" s="18"/>
      <c r="P169" s="102"/>
    </row>
    <row r="170" spans="2:16" x14ac:dyDescent="0.25">
      <c r="B170" s="152"/>
      <c r="C170" s="18"/>
      <c r="D170" s="18"/>
      <c r="E170" s="18"/>
      <c r="F170" s="18"/>
      <c r="G170" s="18"/>
      <c r="H170" s="18"/>
      <c r="I170" s="18"/>
      <c r="J170" s="31"/>
      <c r="K170" s="18"/>
      <c r="L170" s="33"/>
      <c r="M170" s="33"/>
      <c r="N170" s="18"/>
      <c r="O170" s="18"/>
      <c r="P170" s="102"/>
    </row>
    <row r="171" spans="2:16" x14ac:dyDescent="0.25">
      <c r="B171" s="152"/>
      <c r="C171" s="18"/>
      <c r="D171" s="18"/>
      <c r="E171" s="18"/>
      <c r="F171" s="18"/>
      <c r="G171" s="18"/>
      <c r="H171" s="18"/>
      <c r="I171" s="18"/>
      <c r="J171" s="31"/>
      <c r="K171" s="18"/>
      <c r="L171" s="33"/>
      <c r="M171" s="33"/>
      <c r="N171" s="18"/>
      <c r="O171" s="18"/>
      <c r="P171" s="102"/>
    </row>
    <row r="172" spans="2:16" x14ac:dyDescent="0.25">
      <c r="B172" s="152"/>
      <c r="C172" s="18"/>
      <c r="D172" s="18"/>
      <c r="E172" s="18"/>
      <c r="F172" s="18"/>
      <c r="G172" s="18"/>
      <c r="H172" s="18"/>
      <c r="I172" s="18"/>
      <c r="J172" s="31"/>
      <c r="K172" s="18"/>
      <c r="L172" s="33"/>
      <c r="M172" s="33"/>
      <c r="N172" s="18"/>
      <c r="O172" s="18"/>
      <c r="P172" s="102"/>
    </row>
    <row r="173" spans="2:16" x14ac:dyDescent="0.25">
      <c r="B173" s="152"/>
      <c r="C173" s="18"/>
      <c r="D173" s="18"/>
      <c r="E173" s="18"/>
      <c r="F173" s="18"/>
      <c r="G173" s="18"/>
      <c r="H173" s="18"/>
      <c r="I173" s="18"/>
      <c r="J173" s="31"/>
      <c r="K173" s="18"/>
      <c r="L173" s="33"/>
      <c r="M173" s="33"/>
      <c r="N173" s="18"/>
      <c r="O173" s="18"/>
      <c r="P173" s="102"/>
    </row>
    <row r="174" spans="2:16" x14ac:dyDescent="0.25">
      <c r="B174" s="152"/>
      <c r="C174" s="18"/>
      <c r="D174" s="18"/>
      <c r="E174" s="18"/>
      <c r="F174" s="18"/>
      <c r="G174" s="18"/>
      <c r="H174" s="18"/>
      <c r="I174" s="18"/>
      <c r="J174" s="31"/>
      <c r="K174" s="18"/>
      <c r="L174" s="33"/>
      <c r="M174" s="33"/>
      <c r="N174" s="18"/>
      <c r="O174" s="18"/>
      <c r="P174" s="102"/>
    </row>
    <row r="175" spans="2:16" x14ac:dyDescent="0.25">
      <c r="B175" s="9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02"/>
    </row>
    <row r="176" spans="2:16" x14ac:dyDescent="0.25">
      <c r="B176" s="9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02"/>
    </row>
    <row r="177" spans="2:16" x14ac:dyDescent="0.25">
      <c r="B177" s="9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16" t="s">
        <v>320</v>
      </c>
      <c r="P177" s="102"/>
    </row>
    <row r="178" spans="2:16" ht="14.4" thickBot="1" x14ac:dyDescent="0.3">
      <c r="B178" s="156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17" t="s">
        <v>316</v>
      </c>
      <c r="P178" s="142"/>
    </row>
    <row r="179" spans="2:16" x14ac:dyDescent="0.25">
      <c r="B179" s="73"/>
    </row>
    <row r="180" spans="2:16" ht="17.399999999999999" thickBot="1" x14ac:dyDescent="0.3">
      <c r="B180" s="74"/>
    </row>
    <row r="181" spans="2:16" x14ac:dyDescent="0.25">
      <c r="B181" s="157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13"/>
    </row>
    <row r="182" spans="2:16" ht="15.6" x14ac:dyDescent="0.25">
      <c r="B182" s="107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9"/>
      <c r="P182" s="160"/>
    </row>
    <row r="183" spans="2:16" ht="17.399999999999999" x14ac:dyDescent="0.25">
      <c r="B183" s="107"/>
      <c r="C183" s="158"/>
      <c r="D183" s="158"/>
      <c r="E183" s="158"/>
      <c r="F183" s="231" t="s">
        <v>339</v>
      </c>
      <c r="G183" s="231"/>
      <c r="H183" s="231"/>
      <c r="I183" s="231"/>
      <c r="J183" s="231"/>
      <c r="K183" s="231"/>
      <c r="L183" s="231"/>
      <c r="M183" s="158"/>
      <c r="N183" s="158"/>
      <c r="O183" s="158"/>
      <c r="P183" s="112"/>
    </row>
    <row r="184" spans="2:16" ht="17.399999999999999" x14ac:dyDescent="0.25">
      <c r="B184" s="107"/>
      <c r="C184" s="158"/>
      <c r="D184" s="158"/>
      <c r="E184" s="158"/>
      <c r="F184" s="231" t="s">
        <v>381</v>
      </c>
      <c r="G184" s="231"/>
      <c r="H184" s="231"/>
      <c r="I184" s="231"/>
      <c r="J184" s="231"/>
      <c r="K184" s="231"/>
      <c r="L184" s="231"/>
      <c r="M184" s="110"/>
      <c r="N184" s="158"/>
      <c r="O184" s="158"/>
      <c r="P184" s="112"/>
    </row>
    <row r="185" spans="2:16" ht="18" customHeight="1" x14ac:dyDescent="0.25">
      <c r="B185" s="107"/>
      <c r="C185" s="158"/>
      <c r="D185" s="158"/>
      <c r="E185" s="158"/>
      <c r="F185" s="232" t="s">
        <v>38</v>
      </c>
      <c r="G185" s="232"/>
      <c r="H185" s="232"/>
      <c r="I185" s="232"/>
      <c r="J185" s="232"/>
      <c r="K185" s="232"/>
      <c r="L185" s="232"/>
      <c r="M185" s="110"/>
      <c r="N185" s="158"/>
      <c r="O185" s="158"/>
      <c r="P185" s="112"/>
    </row>
    <row r="186" spans="2:16" ht="18" customHeight="1" x14ac:dyDescent="0.25">
      <c r="B186" s="107"/>
      <c r="C186" s="161"/>
      <c r="D186" s="158"/>
      <c r="E186" s="158"/>
      <c r="F186" s="232"/>
      <c r="G186" s="232"/>
      <c r="H186" s="232"/>
      <c r="I186" s="232"/>
      <c r="J186" s="232"/>
      <c r="K186" s="232"/>
      <c r="L186" s="232"/>
      <c r="M186" s="158"/>
      <c r="N186" s="158"/>
      <c r="O186" s="158"/>
      <c r="P186" s="112"/>
    </row>
    <row r="187" spans="2:16" x14ac:dyDescent="0.25">
      <c r="B187" s="147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02"/>
    </row>
    <row r="188" spans="2:16" ht="17.399999999999999" x14ac:dyDescent="0.25">
      <c r="B188" s="98"/>
      <c r="C188" s="75" t="s">
        <v>1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02"/>
    </row>
    <row r="189" spans="2:16" ht="17.399999999999999" x14ac:dyDescent="0.25">
      <c r="B189" s="98"/>
      <c r="C189" s="75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02"/>
    </row>
    <row r="190" spans="2:16" ht="17.399999999999999" x14ac:dyDescent="0.25">
      <c r="B190" s="162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02"/>
    </row>
    <row r="191" spans="2:16" ht="21" customHeight="1" x14ac:dyDescent="0.25">
      <c r="B191" s="150"/>
      <c r="C191" s="29" t="s">
        <v>2</v>
      </c>
      <c r="D191" s="18"/>
      <c r="E191" s="200" t="str">
        <f>+E44</f>
        <v>15MSU0945E</v>
      </c>
      <c r="F191" s="252"/>
      <c r="G191" s="252"/>
      <c r="H191" s="201"/>
      <c r="I191" s="18"/>
      <c r="J191" s="18"/>
      <c r="K191" s="18"/>
      <c r="L191" s="18"/>
      <c r="M191" s="18"/>
      <c r="N191" s="18"/>
      <c r="O191" s="18"/>
      <c r="P191" s="102"/>
    </row>
    <row r="192" spans="2:16" x14ac:dyDescent="0.25">
      <c r="B192" s="147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02"/>
    </row>
    <row r="193" spans="2:16" x14ac:dyDescent="0.25">
      <c r="B193" s="147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02"/>
    </row>
    <row r="194" spans="2:16" x14ac:dyDescent="0.25">
      <c r="B194" s="147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02"/>
    </row>
    <row r="195" spans="2:16" ht="20.25" customHeight="1" x14ac:dyDescent="0.25">
      <c r="B195" s="98"/>
      <c r="C195" s="29" t="s">
        <v>295</v>
      </c>
      <c r="D195" s="18"/>
      <c r="E195" s="35" t="str">
        <f>+E45</f>
        <v>UNIVERSIDAD MEXIQUENSE DEL BICENTENARIO</v>
      </c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102"/>
    </row>
    <row r="196" spans="2:16" x14ac:dyDescent="0.25">
      <c r="B196" s="163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02"/>
    </row>
    <row r="197" spans="2:16" x14ac:dyDescent="0.25">
      <c r="B197" s="147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02"/>
    </row>
    <row r="198" spans="2:16" x14ac:dyDescent="0.25">
      <c r="B198" s="147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02"/>
    </row>
    <row r="199" spans="2:16" x14ac:dyDescent="0.25">
      <c r="B199" s="147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02"/>
    </row>
    <row r="200" spans="2:16" x14ac:dyDescent="0.25">
      <c r="B200" s="147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02"/>
    </row>
    <row r="201" spans="2:16" x14ac:dyDescent="0.25">
      <c r="B201" s="9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02"/>
    </row>
    <row r="202" spans="2:16" x14ac:dyDescent="0.25">
      <c r="B202" s="147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02"/>
    </row>
    <row r="203" spans="2:16" x14ac:dyDescent="0.25">
      <c r="B203" s="152"/>
      <c r="C203" s="202" t="str">
        <f>IF($E$44="","",VLOOKUP($E$44,Base!$A$3:$GP$3,192,FALSE))</f>
        <v>LIC. JUAN JOSÉ OLIN FABELA</v>
      </c>
      <c r="D203" s="202"/>
      <c r="E203" s="202"/>
      <c r="F203" s="202"/>
      <c r="G203" s="202"/>
      <c r="H203" s="18"/>
      <c r="I203" s="18"/>
      <c r="J203" s="18"/>
      <c r="K203" s="18"/>
      <c r="L203" s="46" t="s">
        <v>41</v>
      </c>
      <c r="M203" s="46" t="s">
        <v>42</v>
      </c>
      <c r="N203" s="46" t="s">
        <v>43</v>
      </c>
      <c r="O203" s="18"/>
      <c r="P203" s="102"/>
    </row>
    <row r="204" spans="2:16" x14ac:dyDescent="0.25">
      <c r="B204" s="164" t="s">
        <v>39</v>
      </c>
      <c r="C204" s="18"/>
      <c r="D204" s="18"/>
      <c r="E204" s="18"/>
      <c r="F204" s="18"/>
      <c r="G204" s="18"/>
      <c r="H204" s="18"/>
      <c r="I204" s="18"/>
      <c r="J204" s="30" t="s">
        <v>40</v>
      </c>
      <c r="K204" s="18"/>
      <c r="L204" s="47">
        <v>2014</v>
      </c>
      <c r="M204" s="47">
        <v>9</v>
      </c>
      <c r="N204" s="47">
        <v>30</v>
      </c>
      <c r="O204" s="18"/>
      <c r="P204" s="102"/>
    </row>
    <row r="205" spans="2:16" x14ac:dyDescent="0.25">
      <c r="B205" s="164"/>
      <c r="C205" s="18"/>
      <c r="D205" s="18"/>
      <c r="E205" s="18"/>
      <c r="F205" s="18"/>
      <c r="G205" s="18"/>
      <c r="H205" s="18"/>
      <c r="I205" s="18"/>
      <c r="J205" s="30"/>
      <c r="K205" s="18"/>
      <c r="L205" s="18"/>
      <c r="M205" s="18"/>
      <c r="N205" s="18"/>
      <c r="O205" s="18"/>
      <c r="P205" s="102"/>
    </row>
    <row r="206" spans="2:16" x14ac:dyDescent="0.25">
      <c r="B206" s="147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02"/>
    </row>
    <row r="207" spans="2:16" ht="14.4" thickBot="1" x14ac:dyDescent="0.3">
      <c r="B207" s="9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02"/>
    </row>
    <row r="208" spans="2:16" ht="15.75" customHeight="1" x14ac:dyDescent="0.25">
      <c r="B208" s="152"/>
      <c r="C208" s="239" t="s">
        <v>290</v>
      </c>
      <c r="D208" s="240"/>
      <c r="E208" s="240"/>
      <c r="F208" s="240"/>
      <c r="G208" s="240"/>
      <c r="H208" s="240"/>
      <c r="I208" s="240"/>
      <c r="J208" s="240"/>
      <c r="K208" s="240"/>
      <c r="L208" s="240"/>
      <c r="M208" s="240"/>
      <c r="N208" s="240"/>
      <c r="O208" s="241"/>
      <c r="P208" s="102"/>
    </row>
    <row r="209" spans="2:16" x14ac:dyDescent="0.25">
      <c r="B209" s="98"/>
      <c r="C209" s="242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4"/>
      <c r="P209" s="102"/>
    </row>
    <row r="210" spans="2:16" x14ac:dyDescent="0.25">
      <c r="B210" s="147"/>
      <c r="C210" s="245" t="s">
        <v>151</v>
      </c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  <c r="N210" s="246"/>
      <c r="O210" s="247"/>
      <c r="P210" s="102"/>
    </row>
    <row r="211" spans="2:16" ht="14.4" thickBot="1" x14ac:dyDescent="0.3">
      <c r="B211" s="147"/>
      <c r="C211" s="248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50"/>
      <c r="P211" s="102"/>
    </row>
    <row r="212" spans="2:16" ht="17.399999999999999" thickBot="1" x14ac:dyDescent="0.3">
      <c r="B212" s="165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2"/>
    </row>
    <row r="213" spans="2:16" ht="16.8" x14ac:dyDescent="0.25">
      <c r="B213" s="74"/>
    </row>
    <row r="214" spans="2:16" ht="14.4" thickBot="1" x14ac:dyDescent="0.3"/>
    <row r="215" spans="2:16" ht="11.25" customHeight="1" x14ac:dyDescent="0.25">
      <c r="B215" s="106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9"/>
      <c r="P215" s="113"/>
    </row>
    <row r="216" spans="2:16" ht="27.75" customHeight="1" x14ac:dyDescent="0.25">
      <c r="B216" s="107"/>
      <c r="C216" s="75" t="s">
        <v>339</v>
      </c>
      <c r="D216" s="75"/>
      <c r="E216" s="75"/>
      <c r="F216" s="75"/>
      <c r="G216" s="75"/>
      <c r="H216" s="75"/>
      <c r="I216" s="18"/>
      <c r="J216" s="18"/>
      <c r="K216" s="75" t="s">
        <v>383</v>
      </c>
      <c r="L216" s="75"/>
      <c r="M216" s="75"/>
      <c r="N216" s="75"/>
      <c r="O216" s="105" t="s">
        <v>321</v>
      </c>
      <c r="P216" s="114"/>
    </row>
    <row r="217" spans="2:16" ht="12" customHeight="1" x14ac:dyDescent="0.25">
      <c r="B217" s="107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1"/>
      <c r="P217" s="112"/>
    </row>
    <row r="218" spans="2:16" ht="15.6" x14ac:dyDescent="0.25">
      <c r="B218" s="98"/>
      <c r="C218" s="61" t="s">
        <v>44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54"/>
      <c r="P218" s="102"/>
    </row>
    <row r="219" spans="2:16" x14ac:dyDescent="0.25">
      <c r="B219" s="9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02"/>
    </row>
    <row r="220" spans="2:16" x14ac:dyDescent="0.25">
      <c r="B220" s="98"/>
      <c r="C220" s="230" t="s">
        <v>296</v>
      </c>
      <c r="D220" s="230"/>
      <c r="E220" s="230"/>
      <c r="F220" s="230"/>
      <c r="G220" s="18"/>
      <c r="H220" s="18"/>
      <c r="I220" s="18"/>
      <c r="J220" s="18"/>
      <c r="K220" s="18"/>
      <c r="L220" s="18"/>
      <c r="M220" s="18"/>
      <c r="N220" s="18"/>
      <c r="O220" s="18"/>
      <c r="P220" s="102"/>
    </row>
    <row r="221" spans="2:16" ht="16.8" x14ac:dyDescent="0.25">
      <c r="B221" s="153"/>
      <c r="C221" s="230"/>
      <c r="D221" s="230"/>
      <c r="E221" s="230"/>
      <c r="F221" s="230"/>
      <c r="G221" s="18"/>
      <c r="H221" s="274" t="s">
        <v>45</v>
      </c>
      <c r="I221" s="274"/>
      <c r="J221" s="274"/>
      <c r="K221" s="18"/>
      <c r="L221" s="255">
        <v>1</v>
      </c>
      <c r="M221" s="256"/>
      <c r="N221" s="18"/>
      <c r="O221" s="18"/>
      <c r="P221" s="102"/>
    </row>
    <row r="222" spans="2:16" x14ac:dyDescent="0.25">
      <c r="B222" s="98"/>
      <c r="C222" s="230"/>
      <c r="D222" s="230"/>
      <c r="E222" s="230"/>
      <c r="F222" s="230"/>
      <c r="G222" s="18"/>
      <c r="H222" s="274"/>
      <c r="I222" s="274"/>
      <c r="J222" s="274"/>
      <c r="K222" s="18"/>
      <c r="L222" s="18"/>
      <c r="M222" s="18"/>
      <c r="N222" s="18"/>
      <c r="O222" s="18"/>
      <c r="P222" s="102"/>
    </row>
    <row r="223" spans="2:16" x14ac:dyDescent="0.25">
      <c r="B223" s="166"/>
      <c r="C223" s="119"/>
      <c r="D223" s="119"/>
      <c r="E223" s="119"/>
      <c r="F223" s="119"/>
      <c r="G223" s="18"/>
      <c r="H223" s="274"/>
      <c r="I223" s="274"/>
      <c r="J223" s="274"/>
      <c r="K223" s="18"/>
      <c r="L223" s="18"/>
      <c r="M223" s="18"/>
      <c r="N223" s="18"/>
      <c r="O223" s="18"/>
      <c r="P223" s="102"/>
    </row>
    <row r="224" spans="2:16" x14ac:dyDescent="0.25">
      <c r="B224" s="98"/>
      <c r="C224" s="119"/>
      <c r="D224" s="119"/>
      <c r="E224" s="119"/>
      <c r="F224" s="119"/>
      <c r="G224" s="18"/>
      <c r="H224" s="18"/>
      <c r="I224" s="18"/>
      <c r="J224" s="18"/>
      <c r="K224" s="18"/>
      <c r="L224" s="18"/>
      <c r="M224" s="18"/>
      <c r="N224" s="18"/>
      <c r="O224" s="18"/>
      <c r="P224" s="102"/>
    </row>
    <row r="225" spans="2:16" ht="15.6" x14ac:dyDescent="0.25">
      <c r="B225" s="98"/>
      <c r="C225" s="275" t="s">
        <v>46</v>
      </c>
      <c r="D225" s="275"/>
      <c r="E225" s="275"/>
      <c r="F225" s="275"/>
      <c r="G225" s="61"/>
      <c r="H225" s="61"/>
      <c r="I225" s="18"/>
      <c r="J225" s="273" t="s">
        <v>48</v>
      </c>
      <c r="K225" s="273"/>
      <c r="L225" s="273"/>
      <c r="M225" s="273"/>
      <c r="N225" s="273"/>
      <c r="O225" s="273"/>
      <c r="P225" s="102"/>
    </row>
    <row r="226" spans="2:16" ht="15.6" x14ac:dyDescent="0.25">
      <c r="B226" s="98"/>
      <c r="C226" s="275"/>
      <c r="D226" s="275"/>
      <c r="E226" s="275"/>
      <c r="F226" s="275"/>
      <c r="G226" s="76"/>
      <c r="H226" s="76"/>
      <c r="I226" s="18"/>
      <c r="J226" s="18"/>
      <c r="K226" s="18"/>
      <c r="L226" s="31"/>
      <c r="M226" s="18"/>
      <c r="N226" s="18"/>
      <c r="O226" s="18"/>
      <c r="P226" s="102"/>
    </row>
    <row r="227" spans="2:16" x14ac:dyDescent="0.25">
      <c r="B227" s="98"/>
      <c r="C227" s="119"/>
      <c r="D227" s="119"/>
      <c r="E227" s="119"/>
      <c r="F227" s="119"/>
      <c r="G227" s="18"/>
      <c r="H227" s="18"/>
      <c r="I227" s="18"/>
      <c r="J227" s="277" t="s">
        <v>127</v>
      </c>
      <c r="K227" s="277"/>
      <c r="L227" s="259" t="s">
        <v>49</v>
      </c>
      <c r="M227" s="259"/>
      <c r="N227" s="260" t="s">
        <v>50</v>
      </c>
      <c r="O227" s="260"/>
      <c r="P227" s="102"/>
    </row>
    <row r="228" spans="2:16" ht="19.5" customHeight="1" x14ac:dyDescent="0.25">
      <c r="B228" s="98"/>
      <c r="C228" s="230" t="s">
        <v>387</v>
      </c>
      <c r="D228" s="230"/>
      <c r="E228" s="230"/>
      <c r="F228" s="230"/>
      <c r="G228" s="18"/>
      <c r="H228" s="31" t="s">
        <v>47</v>
      </c>
      <c r="I228" s="18"/>
      <c r="J228" s="277"/>
      <c r="K228" s="277"/>
      <c r="L228" s="259"/>
      <c r="M228" s="259"/>
      <c r="N228" s="260"/>
      <c r="O228" s="260"/>
      <c r="P228" s="102"/>
    </row>
    <row r="229" spans="2:16" x14ac:dyDescent="0.25">
      <c r="B229" s="98"/>
      <c r="C229" s="230"/>
      <c r="D229" s="230"/>
      <c r="E229" s="230"/>
      <c r="F229" s="230"/>
      <c r="G229" s="18"/>
      <c r="H229" s="30" t="s">
        <v>128</v>
      </c>
      <c r="I229" s="18"/>
      <c r="J229" s="255"/>
      <c r="K229" s="256"/>
      <c r="L229" s="255">
        <v>3</v>
      </c>
      <c r="M229" s="256"/>
      <c r="N229" s="255"/>
      <c r="O229" s="256"/>
      <c r="P229" s="102"/>
    </row>
    <row r="230" spans="2:16" x14ac:dyDescent="0.25">
      <c r="B230" s="148"/>
      <c r="C230" s="230"/>
      <c r="D230" s="230"/>
      <c r="E230" s="230"/>
      <c r="F230" s="230"/>
      <c r="G230" s="18"/>
      <c r="H230" s="30" t="s">
        <v>129</v>
      </c>
      <c r="I230" s="18"/>
      <c r="J230" s="255"/>
      <c r="K230" s="256"/>
      <c r="L230" s="255">
        <v>9</v>
      </c>
      <c r="M230" s="256"/>
      <c r="N230" s="255"/>
      <c r="O230" s="256"/>
      <c r="P230" s="102"/>
    </row>
    <row r="231" spans="2:16" x14ac:dyDescent="0.25">
      <c r="B231" s="147"/>
      <c r="C231" s="230"/>
      <c r="D231" s="230"/>
      <c r="E231" s="230"/>
      <c r="F231" s="230"/>
      <c r="G231" s="18"/>
      <c r="H231" s="30" t="s">
        <v>130</v>
      </c>
      <c r="I231" s="18"/>
      <c r="J231" s="255"/>
      <c r="K231" s="256"/>
      <c r="L231" s="255"/>
      <c r="M231" s="256"/>
      <c r="N231" s="255"/>
      <c r="O231" s="256"/>
      <c r="P231" s="102"/>
    </row>
    <row r="232" spans="2:16" x14ac:dyDescent="0.25">
      <c r="B232" s="147"/>
      <c r="C232" s="230"/>
      <c r="D232" s="230"/>
      <c r="E232" s="230"/>
      <c r="F232" s="230"/>
      <c r="G232" s="18"/>
      <c r="H232" s="18"/>
      <c r="I232" s="18"/>
      <c r="J232" s="18"/>
      <c r="K232" s="18"/>
      <c r="L232" s="18"/>
      <c r="M232" s="18"/>
      <c r="N232" s="18"/>
      <c r="O232" s="18"/>
      <c r="P232" s="102"/>
    </row>
    <row r="233" spans="2:16" x14ac:dyDescent="0.25">
      <c r="B233" s="147"/>
      <c r="C233" s="119"/>
      <c r="D233" s="119"/>
      <c r="E233" s="119"/>
      <c r="F233" s="119"/>
      <c r="G233" s="18"/>
      <c r="H233" s="31" t="s">
        <v>9</v>
      </c>
      <c r="I233" s="18"/>
      <c r="J233" s="255"/>
      <c r="K233" s="256"/>
      <c r="L233" s="255">
        <f>SUM(L229:M232)</f>
        <v>12</v>
      </c>
      <c r="M233" s="256"/>
      <c r="N233" s="255"/>
      <c r="O233" s="256"/>
      <c r="P233" s="102"/>
    </row>
    <row r="234" spans="2:16" x14ac:dyDescent="0.25">
      <c r="B234" s="147"/>
      <c r="C234" s="119"/>
      <c r="D234" s="119"/>
      <c r="E234" s="119"/>
      <c r="F234" s="119"/>
      <c r="G234" s="18"/>
      <c r="H234" s="18"/>
      <c r="I234" s="18"/>
      <c r="J234" s="18"/>
      <c r="K234" s="18"/>
      <c r="L234" s="18"/>
      <c r="M234" s="18"/>
      <c r="N234" s="18"/>
      <c r="O234" s="18"/>
      <c r="P234" s="102"/>
    </row>
    <row r="235" spans="2:16" x14ac:dyDescent="0.25">
      <c r="B235" s="98"/>
      <c r="C235" s="119"/>
      <c r="D235" s="119"/>
      <c r="E235" s="119"/>
      <c r="F235" s="119"/>
      <c r="G235" s="18"/>
      <c r="H235" s="18"/>
      <c r="I235" s="18"/>
      <c r="J235" s="18"/>
      <c r="K235" s="18"/>
      <c r="L235" s="18"/>
      <c r="M235" s="18"/>
      <c r="N235" s="18"/>
      <c r="O235" s="18"/>
      <c r="P235" s="102"/>
    </row>
    <row r="236" spans="2:16" x14ac:dyDescent="0.25">
      <c r="B236" s="98"/>
      <c r="C236" s="119"/>
      <c r="D236" s="119"/>
      <c r="E236" s="119"/>
      <c r="F236" s="119"/>
      <c r="G236" s="18"/>
      <c r="H236" s="18"/>
      <c r="I236" s="18"/>
      <c r="J236" s="18"/>
      <c r="K236" s="18"/>
      <c r="L236" s="18"/>
      <c r="M236" s="18"/>
      <c r="N236" s="18"/>
      <c r="O236" s="18"/>
      <c r="P236" s="102"/>
    </row>
    <row r="237" spans="2:16" x14ac:dyDescent="0.25">
      <c r="B237" s="167"/>
      <c r="C237" s="221" t="s">
        <v>388</v>
      </c>
      <c r="D237" s="221"/>
      <c r="E237" s="221"/>
      <c r="F237" s="221"/>
      <c r="G237" s="18"/>
      <c r="H237" s="31" t="s">
        <v>51</v>
      </c>
      <c r="I237" s="18"/>
      <c r="J237" s="18"/>
      <c r="K237" s="18"/>
      <c r="L237" s="276" t="s">
        <v>127</v>
      </c>
      <c r="M237" s="276"/>
      <c r="N237" s="251" t="s">
        <v>49</v>
      </c>
      <c r="O237" s="251"/>
      <c r="P237" s="102"/>
    </row>
    <row r="238" spans="2:16" x14ac:dyDescent="0.25">
      <c r="B238" s="98"/>
      <c r="C238" s="221"/>
      <c r="D238" s="221"/>
      <c r="E238" s="221"/>
      <c r="F238" s="221"/>
      <c r="G238" s="18"/>
      <c r="H238" s="18"/>
      <c r="I238" s="18"/>
      <c r="J238" s="18"/>
      <c r="K238" s="18"/>
      <c r="L238" s="276"/>
      <c r="M238" s="276"/>
      <c r="N238" s="251"/>
      <c r="O238" s="251"/>
      <c r="P238" s="102"/>
    </row>
    <row r="239" spans="2:16" x14ac:dyDescent="0.25">
      <c r="B239" s="168"/>
      <c r="C239" s="221"/>
      <c r="D239" s="221"/>
      <c r="E239" s="221"/>
      <c r="F239" s="221"/>
      <c r="G239" s="18"/>
      <c r="H239" s="30" t="s">
        <v>52</v>
      </c>
      <c r="I239" s="18"/>
      <c r="J239" s="18"/>
      <c r="K239" s="18"/>
      <c r="L239" s="255"/>
      <c r="M239" s="256"/>
      <c r="N239" s="255"/>
      <c r="O239" s="256"/>
      <c r="P239" s="102"/>
    </row>
    <row r="240" spans="2:16" x14ac:dyDescent="0.25">
      <c r="B240" s="98"/>
      <c r="C240" s="221"/>
      <c r="D240" s="221"/>
      <c r="E240" s="221"/>
      <c r="F240" s="221"/>
      <c r="G240" s="18"/>
      <c r="H240" s="30" t="s">
        <v>53</v>
      </c>
      <c r="I240" s="18"/>
      <c r="J240" s="18"/>
      <c r="K240" s="18"/>
      <c r="L240" s="255"/>
      <c r="M240" s="256"/>
      <c r="N240" s="255"/>
      <c r="O240" s="256"/>
      <c r="P240" s="102"/>
    </row>
    <row r="241" spans="2:16" x14ac:dyDescent="0.25">
      <c r="B241" s="98"/>
      <c r="C241" s="221"/>
      <c r="D241" s="221"/>
      <c r="E241" s="221"/>
      <c r="F241" s="221"/>
      <c r="G241" s="18"/>
      <c r="H241" s="30" t="s">
        <v>131</v>
      </c>
      <c r="I241" s="18"/>
      <c r="J241" s="18"/>
      <c r="K241" s="18"/>
      <c r="L241" s="255"/>
      <c r="M241" s="256"/>
      <c r="N241" s="255"/>
      <c r="O241" s="256"/>
      <c r="P241" s="102"/>
    </row>
    <row r="242" spans="2:16" x14ac:dyDescent="0.25">
      <c r="B242" s="147"/>
      <c r="C242" s="18"/>
      <c r="D242" s="18"/>
      <c r="E242" s="18"/>
      <c r="F242" s="18"/>
      <c r="G242" s="18"/>
      <c r="H242" s="30" t="s">
        <v>132</v>
      </c>
      <c r="I242" s="18"/>
      <c r="J242" s="18"/>
      <c r="K242" s="18"/>
      <c r="L242" s="255"/>
      <c r="M242" s="256"/>
      <c r="N242" s="255">
        <v>6</v>
      </c>
      <c r="O242" s="256"/>
      <c r="P242" s="102"/>
    </row>
    <row r="243" spans="2:16" x14ac:dyDescent="0.25">
      <c r="B243" s="147"/>
      <c r="C243" s="18"/>
      <c r="D243" s="18"/>
      <c r="E243" s="18"/>
      <c r="F243" s="18"/>
      <c r="G243" s="18"/>
      <c r="H243" s="30" t="s">
        <v>133</v>
      </c>
      <c r="I243" s="18"/>
      <c r="J243" s="18"/>
      <c r="K243" s="18"/>
      <c r="L243" s="255"/>
      <c r="M243" s="256"/>
      <c r="N243" s="255">
        <v>1</v>
      </c>
      <c r="O243" s="256"/>
      <c r="P243" s="102"/>
    </row>
    <row r="244" spans="2:16" ht="15" x14ac:dyDescent="0.25">
      <c r="B244" s="149"/>
      <c r="C244" s="18"/>
      <c r="D244" s="18"/>
      <c r="E244" s="18"/>
      <c r="F244" s="18"/>
      <c r="G244" s="18"/>
      <c r="H244" s="30" t="s">
        <v>134</v>
      </c>
      <c r="I244" s="18"/>
      <c r="J244" s="18"/>
      <c r="K244" s="18"/>
      <c r="L244" s="255"/>
      <c r="M244" s="256"/>
      <c r="N244" s="255">
        <v>1</v>
      </c>
      <c r="O244" s="256"/>
      <c r="P244" s="102"/>
    </row>
    <row r="245" spans="2:16" x14ac:dyDescent="0.25">
      <c r="B245" s="98"/>
      <c r="C245" s="18"/>
      <c r="D245" s="18"/>
      <c r="E245" s="18"/>
      <c r="F245" s="18"/>
      <c r="G245" s="18"/>
      <c r="H245" s="30" t="s">
        <v>54</v>
      </c>
      <c r="I245" s="18"/>
      <c r="J245" s="18"/>
      <c r="K245" s="18"/>
      <c r="L245" s="255"/>
      <c r="M245" s="256"/>
      <c r="N245" s="255">
        <v>1</v>
      </c>
      <c r="O245" s="256"/>
      <c r="P245" s="102"/>
    </row>
    <row r="246" spans="2:16" x14ac:dyDescent="0.25">
      <c r="B246" s="146"/>
      <c r="C246" s="18"/>
      <c r="D246" s="18"/>
      <c r="E246" s="18"/>
      <c r="F246" s="18"/>
      <c r="G246" s="18"/>
      <c r="H246" s="30" t="s">
        <v>55</v>
      </c>
      <c r="I246" s="18"/>
      <c r="J246" s="18"/>
      <c r="K246" s="18"/>
      <c r="L246" s="255"/>
      <c r="M246" s="256"/>
      <c r="N246" s="255">
        <v>3</v>
      </c>
      <c r="O246" s="256"/>
      <c r="P246" s="102"/>
    </row>
    <row r="247" spans="2:16" x14ac:dyDescent="0.25">
      <c r="B247" s="9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02"/>
    </row>
    <row r="248" spans="2:16" x14ac:dyDescent="0.25">
      <c r="B248" s="152"/>
      <c r="C248" s="18"/>
      <c r="D248" s="18"/>
      <c r="E248" s="18"/>
      <c r="F248" s="18"/>
      <c r="G248" s="18"/>
      <c r="H248" s="72" t="s">
        <v>9</v>
      </c>
      <c r="I248" s="18"/>
      <c r="J248" s="18"/>
      <c r="K248" s="18"/>
      <c r="L248" s="255"/>
      <c r="M248" s="256"/>
      <c r="N248" s="255">
        <f>SUM(N239:O247)</f>
        <v>12</v>
      </c>
      <c r="O248" s="256"/>
      <c r="P248" s="102"/>
    </row>
    <row r="249" spans="2:16" x14ac:dyDescent="0.25">
      <c r="B249" s="9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02"/>
    </row>
    <row r="250" spans="2:16" x14ac:dyDescent="0.25">
      <c r="B250" s="9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16" t="s">
        <v>315</v>
      </c>
      <c r="P250" s="102"/>
    </row>
    <row r="251" spans="2:16" ht="14.4" thickBot="1" x14ac:dyDescent="0.3">
      <c r="B251" s="139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17" t="s">
        <v>316</v>
      </c>
      <c r="P251" s="142"/>
    </row>
    <row r="253" spans="2:16" ht="14.4" thickBot="1" x14ac:dyDescent="0.3">
      <c r="B253" s="12"/>
    </row>
    <row r="254" spans="2:16" ht="9" customHeight="1" x14ac:dyDescent="0.25">
      <c r="B254" s="106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9"/>
      <c r="P254" s="113"/>
    </row>
    <row r="255" spans="2:16" ht="30.75" customHeight="1" x14ac:dyDescent="0.25">
      <c r="B255" s="107"/>
      <c r="C255" s="75" t="s">
        <v>339</v>
      </c>
      <c r="D255" s="75"/>
      <c r="E255" s="75"/>
      <c r="F255" s="75"/>
      <c r="G255" s="75"/>
      <c r="H255" s="75"/>
      <c r="I255" s="18"/>
      <c r="J255" s="18"/>
      <c r="K255" s="75" t="s">
        <v>383</v>
      </c>
      <c r="L255" s="75"/>
      <c r="M255" s="75"/>
      <c r="N255" s="75"/>
      <c r="O255" s="105" t="s">
        <v>321</v>
      </c>
      <c r="P255" s="114"/>
    </row>
    <row r="256" spans="2:16" ht="9.75" customHeight="1" x14ac:dyDescent="0.25">
      <c r="B256" s="107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1"/>
      <c r="P256" s="112"/>
    </row>
    <row r="257" spans="2:16" ht="15.75" customHeight="1" x14ac:dyDescent="0.25">
      <c r="B257" s="98"/>
      <c r="C257" s="261" t="s">
        <v>297</v>
      </c>
      <c r="D257" s="261"/>
      <c r="E257" s="261"/>
      <c r="F257" s="261"/>
      <c r="G257" s="18"/>
      <c r="H257" s="18"/>
      <c r="I257" s="18"/>
      <c r="J257" s="18"/>
      <c r="K257" s="18"/>
      <c r="L257" s="18"/>
      <c r="M257" s="18"/>
      <c r="N257" s="18"/>
      <c r="O257" s="54"/>
      <c r="P257" s="102"/>
    </row>
    <row r="258" spans="2:16" x14ac:dyDescent="0.25">
      <c r="B258" s="147"/>
      <c r="C258" s="261"/>
      <c r="D258" s="261"/>
      <c r="E258" s="261"/>
      <c r="F258" s="261"/>
      <c r="G258" s="18"/>
      <c r="H258" s="18"/>
      <c r="I258" s="18"/>
      <c r="J258" s="18"/>
      <c r="K258" s="18"/>
      <c r="L258" s="18"/>
      <c r="M258" s="18"/>
      <c r="N258" s="18"/>
      <c r="O258" s="18"/>
      <c r="P258" s="102"/>
    </row>
    <row r="259" spans="2:16" ht="15" customHeight="1" x14ac:dyDescent="0.25">
      <c r="B259" s="98"/>
      <c r="C259" s="230" t="s">
        <v>298</v>
      </c>
      <c r="D259" s="230"/>
      <c r="E259" s="230"/>
      <c r="F259" s="230"/>
      <c r="G259" s="18"/>
      <c r="H259" s="18"/>
      <c r="I259" s="18"/>
      <c r="J259" s="18"/>
      <c r="K259" s="18"/>
      <c r="L259" s="121"/>
      <c r="M259" s="121"/>
      <c r="N259" s="121"/>
      <c r="O259" s="257" t="s">
        <v>120</v>
      </c>
      <c r="P259" s="102"/>
    </row>
    <row r="260" spans="2:16" x14ac:dyDescent="0.25">
      <c r="B260" s="98"/>
      <c r="C260" s="230"/>
      <c r="D260" s="230"/>
      <c r="E260" s="230"/>
      <c r="F260" s="230"/>
      <c r="G260" s="18"/>
      <c r="H260" s="18"/>
      <c r="I260" s="18"/>
      <c r="J260" s="18"/>
      <c r="K260" s="18"/>
      <c r="L260" s="115" t="s">
        <v>18</v>
      </c>
      <c r="M260" s="115" t="s">
        <v>19</v>
      </c>
      <c r="N260" s="115" t="s">
        <v>9</v>
      </c>
      <c r="O260" s="257"/>
      <c r="P260" s="102"/>
    </row>
    <row r="261" spans="2:16" x14ac:dyDescent="0.25">
      <c r="B261" s="147"/>
      <c r="C261" s="230"/>
      <c r="D261" s="230"/>
      <c r="E261" s="230"/>
      <c r="F261" s="230"/>
      <c r="G261" s="18"/>
      <c r="H261" s="30" t="s">
        <v>23</v>
      </c>
      <c r="I261" s="18"/>
      <c r="J261" s="18"/>
      <c r="K261" s="18"/>
      <c r="L261" s="47">
        <v>1</v>
      </c>
      <c r="M261" s="47"/>
      <c r="N261" s="47">
        <f>L261+M261</f>
        <v>1</v>
      </c>
      <c r="O261" s="47"/>
      <c r="P261" s="102"/>
    </row>
    <row r="262" spans="2:16" x14ac:dyDescent="0.25">
      <c r="B262" s="147"/>
      <c r="C262" s="230"/>
      <c r="D262" s="230"/>
      <c r="E262" s="230"/>
      <c r="F262" s="230"/>
      <c r="G262" s="18"/>
      <c r="H262" s="30" t="s">
        <v>56</v>
      </c>
      <c r="I262" s="18"/>
      <c r="J262" s="18"/>
      <c r="K262" s="18"/>
      <c r="L262" s="47">
        <v>60</v>
      </c>
      <c r="M262" s="47">
        <v>24</v>
      </c>
      <c r="N262" s="47">
        <f>L262+M262</f>
        <v>84</v>
      </c>
      <c r="O262" s="47"/>
      <c r="P262" s="102"/>
    </row>
    <row r="263" spans="2:16" x14ac:dyDescent="0.25">
      <c r="B263" s="147"/>
      <c r="C263" s="230"/>
      <c r="D263" s="230"/>
      <c r="E263" s="230"/>
      <c r="F263" s="230"/>
      <c r="G263" s="18"/>
      <c r="H263" s="30" t="s">
        <v>57</v>
      </c>
      <c r="I263" s="18"/>
      <c r="J263" s="18"/>
      <c r="K263" s="18"/>
      <c r="L263" s="47"/>
      <c r="M263" s="47"/>
      <c r="N263" s="47"/>
      <c r="O263" s="47"/>
      <c r="P263" s="102"/>
    </row>
    <row r="264" spans="2:16" x14ac:dyDescent="0.25">
      <c r="B264" s="147"/>
      <c r="C264" s="230"/>
      <c r="D264" s="230"/>
      <c r="E264" s="230"/>
      <c r="F264" s="230"/>
      <c r="G264" s="18"/>
      <c r="H264" s="30" t="s">
        <v>24</v>
      </c>
      <c r="I264" s="18"/>
      <c r="J264" s="18"/>
      <c r="K264" s="18"/>
      <c r="L264" s="47"/>
      <c r="M264" s="47"/>
      <c r="N264" s="47"/>
      <c r="O264" s="47"/>
      <c r="P264" s="102"/>
    </row>
    <row r="265" spans="2:16" x14ac:dyDescent="0.25">
      <c r="B265" s="98"/>
      <c r="C265" s="77" t="s">
        <v>15</v>
      </c>
      <c r="D265" s="122"/>
      <c r="E265" s="122"/>
      <c r="F265" s="122"/>
      <c r="G265" s="18"/>
      <c r="H265" s="30" t="s">
        <v>25</v>
      </c>
      <c r="I265" s="18"/>
      <c r="J265" s="18"/>
      <c r="K265" s="18"/>
      <c r="L265" s="47"/>
      <c r="M265" s="47"/>
      <c r="N265" s="47"/>
      <c r="O265" s="47"/>
      <c r="P265" s="102"/>
    </row>
    <row r="266" spans="2:16" x14ac:dyDescent="0.25">
      <c r="B266" s="98"/>
      <c r="C266" s="221" t="s">
        <v>16</v>
      </c>
      <c r="D266" s="221"/>
      <c r="E266" s="221"/>
      <c r="F266" s="221"/>
      <c r="G266" s="18"/>
      <c r="H266" s="30" t="s">
        <v>26</v>
      </c>
      <c r="I266" s="18"/>
      <c r="J266" s="18"/>
      <c r="K266" s="18"/>
      <c r="L266" s="47"/>
      <c r="M266" s="47"/>
      <c r="N266" s="47"/>
      <c r="O266" s="47"/>
      <c r="P266" s="102"/>
    </row>
    <row r="267" spans="2:16" x14ac:dyDescent="0.25">
      <c r="B267" s="147"/>
      <c r="C267" s="221"/>
      <c r="D267" s="221"/>
      <c r="E267" s="221"/>
      <c r="F267" s="221"/>
      <c r="G267" s="18"/>
      <c r="H267" s="78"/>
      <c r="I267" s="18"/>
      <c r="J267" s="18"/>
      <c r="K267" s="18"/>
      <c r="L267" s="184"/>
      <c r="M267" s="184"/>
      <c r="N267" s="184"/>
      <c r="O267" s="184"/>
      <c r="P267" s="102"/>
    </row>
    <row r="268" spans="2:16" x14ac:dyDescent="0.25">
      <c r="B268" s="147"/>
      <c r="C268" s="119"/>
      <c r="D268" s="119"/>
      <c r="E268" s="119"/>
      <c r="F268" s="119"/>
      <c r="G268" s="18"/>
      <c r="H268" s="258" t="s">
        <v>58</v>
      </c>
      <c r="I268" s="258"/>
      <c r="J268" s="258"/>
      <c r="K268" s="258"/>
      <c r="L268" s="47">
        <f>SUM(L261:L267)</f>
        <v>61</v>
      </c>
      <c r="M268" s="47">
        <f>SUM(M261:M267)</f>
        <v>24</v>
      </c>
      <c r="N268" s="47">
        <f>SUM(N261:N267)</f>
        <v>85</v>
      </c>
      <c r="O268" s="47"/>
      <c r="P268" s="102"/>
    </row>
    <row r="269" spans="2:16" x14ac:dyDescent="0.25">
      <c r="B269" s="147"/>
      <c r="C269" s="119"/>
      <c r="D269" s="119"/>
      <c r="E269" s="119"/>
      <c r="F269" s="119"/>
      <c r="G269" s="18"/>
      <c r="H269" s="258"/>
      <c r="I269" s="258"/>
      <c r="J269" s="258"/>
      <c r="K269" s="258"/>
      <c r="L269" s="18"/>
      <c r="M269" s="18"/>
      <c r="N269" s="18"/>
      <c r="O269" s="18"/>
      <c r="P269" s="102"/>
    </row>
    <row r="270" spans="2:16" ht="7.5" customHeight="1" x14ac:dyDescent="0.25">
      <c r="B270" s="147"/>
      <c r="D270" s="119"/>
      <c r="E270" s="119"/>
      <c r="F270" s="119"/>
      <c r="G270" s="18"/>
      <c r="H270" s="18"/>
      <c r="I270" s="18"/>
      <c r="J270" s="18"/>
      <c r="K270" s="18"/>
      <c r="L270" s="18"/>
      <c r="M270" s="18"/>
      <c r="N270" s="18"/>
      <c r="O270" s="18"/>
      <c r="P270" s="102"/>
    </row>
    <row r="271" spans="2:16" ht="15.6" x14ac:dyDescent="0.25">
      <c r="B271" s="152"/>
      <c r="C271" s="76" t="s">
        <v>59</v>
      </c>
      <c r="D271" s="119"/>
      <c r="E271" s="119"/>
      <c r="F271" s="119"/>
      <c r="G271" s="18"/>
      <c r="H271" s="18"/>
      <c r="I271" s="224" t="s">
        <v>60</v>
      </c>
      <c r="J271" s="224"/>
      <c r="K271" s="224"/>
      <c r="L271" s="224" t="s">
        <v>61</v>
      </c>
      <c r="M271" s="224"/>
      <c r="N271" s="224"/>
      <c r="O271" s="224"/>
      <c r="P271" s="102"/>
    </row>
    <row r="272" spans="2:16" ht="14.25" customHeight="1" x14ac:dyDescent="0.25">
      <c r="B272" s="98"/>
      <c r="C272" s="230" t="s">
        <v>299</v>
      </c>
      <c r="D272" s="230"/>
      <c r="E272" s="230"/>
      <c r="F272" s="230"/>
      <c r="G272" s="18"/>
      <c r="H272" s="254" t="s">
        <v>135</v>
      </c>
      <c r="I272" s="217" t="s">
        <v>57</v>
      </c>
      <c r="J272" s="237" t="s">
        <v>24</v>
      </c>
      <c r="K272" s="237" t="s">
        <v>136</v>
      </c>
      <c r="L272" s="217" t="s">
        <v>18</v>
      </c>
      <c r="M272" s="217" t="s">
        <v>19</v>
      </c>
      <c r="N272" s="217" t="s">
        <v>9</v>
      </c>
      <c r="O272" s="253" t="s">
        <v>120</v>
      </c>
      <c r="P272" s="102"/>
    </row>
    <row r="273" spans="2:16" ht="14.25" customHeight="1" x14ac:dyDescent="0.25">
      <c r="B273" s="98"/>
      <c r="C273" s="230"/>
      <c r="D273" s="230"/>
      <c r="E273" s="230"/>
      <c r="F273" s="230"/>
      <c r="G273" s="18"/>
      <c r="H273" s="254"/>
      <c r="I273" s="217"/>
      <c r="J273" s="237"/>
      <c r="K273" s="237"/>
      <c r="L273" s="217"/>
      <c r="M273" s="217"/>
      <c r="N273" s="217"/>
      <c r="O273" s="253"/>
      <c r="P273" s="102"/>
    </row>
    <row r="274" spans="2:16" ht="15" x14ac:dyDescent="0.25">
      <c r="B274" s="149"/>
      <c r="C274" s="230"/>
      <c r="D274" s="230"/>
      <c r="E274" s="230"/>
      <c r="F274" s="230"/>
      <c r="G274" s="18"/>
      <c r="H274" s="18"/>
      <c r="I274" s="18"/>
      <c r="J274" s="18"/>
      <c r="K274" s="18"/>
      <c r="L274" s="18"/>
      <c r="M274" s="18"/>
      <c r="N274" s="18"/>
      <c r="O274" s="18"/>
      <c r="P274" s="102"/>
    </row>
    <row r="275" spans="2:16" x14ac:dyDescent="0.25">
      <c r="B275" s="98"/>
      <c r="C275" s="230"/>
      <c r="D275" s="230"/>
      <c r="E275" s="230"/>
      <c r="F275" s="230"/>
      <c r="G275" s="120" t="s">
        <v>62</v>
      </c>
      <c r="H275" s="18"/>
      <c r="I275" s="55"/>
      <c r="J275" s="55"/>
      <c r="K275" s="55"/>
      <c r="L275" s="55"/>
      <c r="M275" s="55"/>
      <c r="N275" s="55"/>
      <c r="O275" s="55"/>
      <c r="P275" s="102"/>
    </row>
    <row r="276" spans="2:16" x14ac:dyDescent="0.25">
      <c r="B276" s="98"/>
      <c r="G276" s="120" t="s">
        <v>63</v>
      </c>
      <c r="H276" s="18"/>
      <c r="I276" s="55"/>
      <c r="J276" s="55"/>
      <c r="K276" s="55"/>
      <c r="L276" s="55"/>
      <c r="M276" s="55"/>
      <c r="N276" s="55"/>
      <c r="O276" s="55"/>
      <c r="P276" s="102"/>
    </row>
    <row r="277" spans="2:16" x14ac:dyDescent="0.25">
      <c r="B277" s="169"/>
      <c r="C277" s="18"/>
      <c r="D277" s="18"/>
      <c r="E277" s="18"/>
      <c r="F277" s="18"/>
      <c r="G277" s="120" t="s">
        <v>64</v>
      </c>
      <c r="H277" s="18"/>
      <c r="I277" s="55"/>
      <c r="J277" s="55"/>
      <c r="K277" s="55">
        <v>84</v>
      </c>
      <c r="L277" s="55">
        <v>60</v>
      </c>
      <c r="M277" s="55">
        <v>24</v>
      </c>
      <c r="N277" s="55">
        <f>L277+M277</f>
        <v>84</v>
      </c>
      <c r="O277" s="55"/>
      <c r="P277" s="102"/>
    </row>
    <row r="278" spans="2:16" ht="6" customHeight="1" x14ac:dyDescent="0.25">
      <c r="B278" s="98"/>
      <c r="C278" s="18"/>
      <c r="D278" s="18"/>
      <c r="E278" s="18"/>
      <c r="F278" s="18"/>
      <c r="G278" s="18"/>
      <c r="H278" s="40"/>
      <c r="I278" s="18"/>
      <c r="J278" s="18"/>
      <c r="K278" s="18"/>
      <c r="L278" s="18"/>
      <c r="M278" s="18"/>
      <c r="N278" s="18"/>
      <c r="O278" s="18"/>
      <c r="P278" s="102"/>
    </row>
    <row r="279" spans="2:16" x14ac:dyDescent="0.25">
      <c r="B279" s="98"/>
      <c r="C279" s="18"/>
      <c r="D279" s="18"/>
      <c r="E279" s="18"/>
      <c r="F279" s="18"/>
      <c r="G279" s="31" t="s">
        <v>9</v>
      </c>
      <c r="H279" s="18"/>
      <c r="I279" s="55"/>
      <c r="J279" s="55"/>
      <c r="K279" s="55">
        <f>SUM(K275:K278)</f>
        <v>84</v>
      </c>
      <c r="L279" s="55">
        <f t="shared" ref="L279:N279" si="1">SUM(L275:L278)</f>
        <v>60</v>
      </c>
      <c r="M279" s="55">
        <f t="shared" si="1"/>
        <v>24</v>
      </c>
      <c r="N279" s="55">
        <f t="shared" si="1"/>
        <v>84</v>
      </c>
      <c r="O279" s="55"/>
      <c r="P279" s="102"/>
    </row>
    <row r="280" spans="2:16" ht="15" customHeight="1" x14ac:dyDescent="0.25">
      <c r="B280" s="154"/>
      <c r="C280" s="18"/>
      <c r="D280" s="18"/>
      <c r="E280" s="18"/>
      <c r="F280" s="18"/>
      <c r="G280" s="123" t="s">
        <v>65</v>
      </c>
      <c r="H280" s="18"/>
      <c r="I280" s="18"/>
      <c r="J280" s="18"/>
      <c r="K280" s="18"/>
      <c r="L280" s="18"/>
      <c r="M280" s="18"/>
      <c r="N280" s="18"/>
      <c r="O280" s="18"/>
      <c r="P280" s="102"/>
    </row>
    <row r="281" spans="2:16" x14ac:dyDescent="0.25">
      <c r="B281" s="98"/>
      <c r="C281" s="18"/>
      <c r="D281" s="18"/>
      <c r="E281" s="18"/>
      <c r="F281" s="18"/>
      <c r="G281" s="120" t="s">
        <v>137</v>
      </c>
      <c r="H281" s="18"/>
      <c r="I281" s="55"/>
      <c r="J281" s="55"/>
      <c r="K281" s="55"/>
      <c r="L281" s="55"/>
      <c r="M281" s="55"/>
      <c r="N281" s="55"/>
      <c r="O281" s="55"/>
      <c r="P281" s="102"/>
    </row>
    <row r="282" spans="2:16" x14ac:dyDescent="0.25">
      <c r="B282" s="98"/>
      <c r="C282" s="18"/>
      <c r="D282" s="18"/>
      <c r="E282" s="18"/>
      <c r="F282" s="18"/>
      <c r="G282" s="120" t="s">
        <v>138</v>
      </c>
      <c r="H282" s="18"/>
      <c r="I282" s="55"/>
      <c r="J282" s="55"/>
      <c r="K282" s="55"/>
      <c r="L282" s="55"/>
      <c r="M282" s="55"/>
      <c r="N282" s="55"/>
      <c r="O282" s="55"/>
      <c r="P282" s="102"/>
    </row>
    <row r="283" spans="2:16" x14ac:dyDescent="0.25">
      <c r="B283" s="98"/>
      <c r="C283" s="18"/>
      <c r="D283" s="18"/>
      <c r="E283" s="18"/>
      <c r="F283" s="18"/>
      <c r="G283" s="120" t="s">
        <v>119</v>
      </c>
      <c r="H283" s="18"/>
      <c r="I283" s="55"/>
      <c r="J283" s="55"/>
      <c r="K283" s="55"/>
      <c r="L283" s="55"/>
      <c r="M283" s="55"/>
      <c r="N283" s="55"/>
      <c r="O283" s="55"/>
      <c r="P283" s="102"/>
    </row>
    <row r="284" spans="2:16" x14ac:dyDescent="0.25">
      <c r="B284" s="98"/>
      <c r="C284" s="18"/>
      <c r="D284" s="18"/>
      <c r="E284" s="18"/>
      <c r="F284" s="18"/>
      <c r="G284" s="120" t="s">
        <v>118</v>
      </c>
      <c r="H284" s="18"/>
      <c r="I284" s="55"/>
      <c r="J284" s="55"/>
      <c r="K284" s="55"/>
      <c r="L284" s="55"/>
      <c r="M284" s="55"/>
      <c r="N284" s="55"/>
      <c r="O284" s="55"/>
      <c r="P284" s="102"/>
    </row>
    <row r="285" spans="2:16" x14ac:dyDescent="0.25">
      <c r="B285" s="98"/>
      <c r="C285" s="18"/>
      <c r="D285" s="18"/>
      <c r="E285" s="18"/>
      <c r="F285" s="18"/>
      <c r="G285" s="120" t="s">
        <v>66</v>
      </c>
      <c r="H285" s="18"/>
      <c r="I285" s="55"/>
      <c r="J285" s="55"/>
      <c r="K285" s="55"/>
      <c r="L285" s="55"/>
      <c r="M285" s="55"/>
      <c r="N285" s="55"/>
      <c r="O285" s="55"/>
      <c r="P285" s="102"/>
    </row>
    <row r="286" spans="2:16" x14ac:dyDescent="0.25">
      <c r="B286" s="98"/>
      <c r="C286" s="18"/>
      <c r="D286" s="18"/>
      <c r="E286" s="18"/>
      <c r="F286" s="18"/>
      <c r="G286" s="120" t="s">
        <v>26</v>
      </c>
      <c r="H286" s="18"/>
      <c r="I286" s="55"/>
      <c r="J286" s="55"/>
      <c r="K286" s="55"/>
      <c r="L286" s="55"/>
      <c r="M286" s="55"/>
      <c r="N286" s="55"/>
      <c r="O286" s="55"/>
      <c r="P286" s="102"/>
    </row>
    <row r="287" spans="2:16" ht="9" customHeight="1" x14ac:dyDescent="0.25">
      <c r="B287" s="98"/>
      <c r="C287" s="18"/>
      <c r="D287" s="18"/>
      <c r="E287" s="18"/>
      <c r="F287" s="18"/>
      <c r="G287" s="30"/>
      <c r="H287" s="18"/>
      <c r="I287" s="18"/>
      <c r="J287" s="18"/>
      <c r="K287" s="18"/>
      <c r="L287" s="18"/>
      <c r="M287" s="18"/>
      <c r="N287" s="18"/>
      <c r="O287" s="18"/>
      <c r="P287" s="102"/>
    </row>
    <row r="288" spans="2:16" x14ac:dyDescent="0.25">
      <c r="B288" s="98"/>
      <c r="C288" s="18"/>
      <c r="D288" s="18"/>
      <c r="E288" s="18"/>
      <c r="F288" s="18"/>
      <c r="G288" s="31" t="s">
        <v>9</v>
      </c>
      <c r="H288" s="18"/>
      <c r="I288" s="55"/>
      <c r="J288" s="55"/>
      <c r="K288" s="55"/>
      <c r="L288" s="55"/>
      <c r="M288" s="55"/>
      <c r="N288" s="55"/>
      <c r="O288" s="55"/>
      <c r="P288" s="102"/>
    </row>
    <row r="289" spans="2:16" ht="6.75" customHeight="1" x14ac:dyDescent="0.25">
      <c r="B289" s="9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02"/>
    </row>
    <row r="290" spans="2:16" x14ac:dyDescent="0.25">
      <c r="B290" s="98"/>
      <c r="C290" s="68" t="s">
        <v>300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16" t="s">
        <v>319</v>
      </c>
      <c r="P290" s="102"/>
    </row>
    <row r="291" spans="2:16" ht="14.4" thickBot="1" x14ac:dyDescent="0.3">
      <c r="B291" s="139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17" t="s">
        <v>316</v>
      </c>
      <c r="P291" s="142"/>
    </row>
    <row r="292" spans="2:16" ht="16.2" thickBot="1" x14ac:dyDescent="0.3">
      <c r="B292" s="79"/>
    </row>
    <row r="293" spans="2:16" ht="9" customHeight="1" x14ac:dyDescent="0.25">
      <c r="B293" s="106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9"/>
      <c r="P293" s="113"/>
    </row>
    <row r="294" spans="2:16" ht="27" customHeight="1" x14ac:dyDescent="0.25">
      <c r="B294" s="107"/>
      <c r="C294" s="75" t="s">
        <v>339</v>
      </c>
      <c r="D294" s="75"/>
      <c r="E294" s="75"/>
      <c r="F294" s="75"/>
      <c r="G294" s="75"/>
      <c r="H294" s="75"/>
      <c r="I294" s="18"/>
      <c r="J294" s="18"/>
      <c r="K294" s="75" t="s">
        <v>383</v>
      </c>
      <c r="L294" s="75"/>
      <c r="M294" s="75"/>
      <c r="N294" s="75"/>
      <c r="O294" s="105" t="s">
        <v>321</v>
      </c>
      <c r="P294" s="114"/>
    </row>
    <row r="295" spans="2:16" ht="9.75" customHeight="1" x14ac:dyDescent="0.25">
      <c r="B295" s="107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1"/>
      <c r="P295" s="112"/>
    </row>
    <row r="296" spans="2:16" ht="15" x14ac:dyDescent="0.25">
      <c r="B296" s="149"/>
      <c r="C296" s="230" t="s">
        <v>301</v>
      </c>
      <c r="D296" s="230"/>
      <c r="E296" s="230"/>
      <c r="F296" s="230"/>
      <c r="G296" s="18"/>
      <c r="H296" s="18"/>
      <c r="I296" s="224" t="s">
        <v>60</v>
      </c>
      <c r="J296" s="224"/>
      <c r="K296" s="224"/>
      <c r="L296" s="224" t="s">
        <v>61</v>
      </c>
      <c r="M296" s="224"/>
      <c r="N296" s="224"/>
      <c r="O296" s="224"/>
      <c r="P296" s="102"/>
    </row>
    <row r="297" spans="2:16" x14ac:dyDescent="0.25">
      <c r="B297" s="98"/>
      <c r="C297" s="230"/>
      <c r="D297" s="230"/>
      <c r="E297" s="230"/>
      <c r="F297" s="230"/>
      <c r="G297" s="18"/>
      <c r="H297" s="238" t="s">
        <v>67</v>
      </c>
      <c r="I297" s="217" t="s">
        <v>57</v>
      </c>
      <c r="J297" s="237" t="s">
        <v>24</v>
      </c>
      <c r="K297" s="237" t="s">
        <v>136</v>
      </c>
      <c r="L297" s="217" t="s">
        <v>18</v>
      </c>
      <c r="M297" s="217" t="s">
        <v>19</v>
      </c>
      <c r="N297" s="217" t="s">
        <v>9</v>
      </c>
      <c r="O297" s="253" t="s">
        <v>120</v>
      </c>
      <c r="P297" s="102"/>
    </row>
    <row r="298" spans="2:16" x14ac:dyDescent="0.25">
      <c r="B298" s="168"/>
      <c r="C298" s="230"/>
      <c r="D298" s="230"/>
      <c r="E298" s="230"/>
      <c r="F298" s="230"/>
      <c r="G298" s="18"/>
      <c r="H298" s="238"/>
      <c r="I298" s="217"/>
      <c r="J298" s="237"/>
      <c r="K298" s="237"/>
      <c r="L298" s="217"/>
      <c r="M298" s="217"/>
      <c r="N298" s="217"/>
      <c r="O298" s="253"/>
      <c r="P298" s="102"/>
    </row>
    <row r="299" spans="2:16" ht="16.5" customHeight="1" x14ac:dyDescent="0.25">
      <c r="B299" s="98"/>
      <c r="C299" s="18"/>
      <c r="D299" s="18"/>
      <c r="E299" s="18"/>
      <c r="F299" s="18"/>
      <c r="G299" s="124" t="s">
        <v>68</v>
      </c>
      <c r="H299" s="18"/>
      <c r="I299" s="55"/>
      <c r="J299" s="55"/>
      <c r="K299" s="55"/>
      <c r="L299" s="55"/>
      <c r="M299" s="55"/>
      <c r="N299" s="55">
        <f>L299+M299</f>
        <v>0</v>
      </c>
      <c r="O299" s="55"/>
      <c r="P299" s="102"/>
    </row>
    <row r="300" spans="2:16" ht="16.5" customHeight="1" x14ac:dyDescent="0.25">
      <c r="B300" s="154"/>
      <c r="C300" s="18"/>
      <c r="D300" s="18"/>
      <c r="E300" s="18"/>
      <c r="F300" s="18"/>
      <c r="G300" s="124" t="s">
        <v>69</v>
      </c>
      <c r="H300" s="18"/>
      <c r="I300" s="55"/>
      <c r="J300" s="55"/>
      <c r="K300" s="55"/>
      <c r="L300" s="55"/>
      <c r="M300" s="55"/>
      <c r="N300" s="55">
        <f t="shared" ref="N300:N305" si="2">L300+M300</f>
        <v>0</v>
      </c>
      <c r="O300" s="55"/>
      <c r="P300" s="102"/>
    </row>
    <row r="301" spans="2:16" ht="16.5" customHeight="1" x14ac:dyDescent="0.25">
      <c r="B301" s="98"/>
      <c r="C301" s="18"/>
      <c r="D301" s="18"/>
      <c r="E301" s="18"/>
      <c r="F301" s="18"/>
      <c r="G301" s="124" t="s">
        <v>139</v>
      </c>
      <c r="H301" s="18"/>
      <c r="I301" s="55"/>
      <c r="J301" s="55"/>
      <c r="K301" s="55"/>
      <c r="L301" s="55"/>
      <c r="M301" s="55"/>
      <c r="N301" s="55">
        <f t="shared" si="2"/>
        <v>0</v>
      </c>
      <c r="O301" s="55"/>
      <c r="P301" s="102"/>
    </row>
    <row r="302" spans="2:16" ht="16.5" customHeight="1" x14ac:dyDescent="0.25">
      <c r="B302" s="154"/>
      <c r="C302" s="18"/>
      <c r="D302" s="18"/>
      <c r="E302" s="18"/>
      <c r="F302" s="18"/>
      <c r="G302" s="124" t="s">
        <v>140</v>
      </c>
      <c r="H302" s="18"/>
      <c r="I302" s="55"/>
      <c r="J302" s="55"/>
      <c r="K302" s="55"/>
      <c r="L302" s="55"/>
      <c r="M302" s="55"/>
      <c r="N302" s="55">
        <f t="shared" si="2"/>
        <v>0</v>
      </c>
      <c r="O302" s="55"/>
      <c r="P302" s="102"/>
    </row>
    <row r="303" spans="2:16" ht="16.5" customHeight="1" x14ac:dyDescent="0.25">
      <c r="B303" s="98"/>
      <c r="C303" s="18"/>
      <c r="D303" s="18"/>
      <c r="E303" s="18"/>
      <c r="F303" s="18"/>
      <c r="G303" s="124" t="s">
        <v>141</v>
      </c>
      <c r="H303" s="18"/>
      <c r="I303" s="55"/>
      <c r="J303" s="55"/>
      <c r="K303" s="55"/>
      <c r="L303" s="55"/>
      <c r="M303" s="55"/>
      <c r="N303" s="55">
        <f t="shared" si="2"/>
        <v>0</v>
      </c>
      <c r="O303" s="55"/>
      <c r="P303" s="102"/>
    </row>
    <row r="304" spans="2:16" ht="16.5" customHeight="1" x14ac:dyDescent="0.25">
      <c r="B304" s="170"/>
      <c r="C304" s="18"/>
      <c r="D304" s="18"/>
      <c r="E304" s="18"/>
      <c r="F304" s="18"/>
      <c r="G304" s="124" t="s">
        <v>142</v>
      </c>
      <c r="H304" s="18"/>
      <c r="I304" s="55"/>
      <c r="J304" s="55"/>
      <c r="K304" s="55"/>
      <c r="L304" s="55"/>
      <c r="M304" s="55"/>
      <c r="N304" s="55">
        <f t="shared" si="2"/>
        <v>0</v>
      </c>
      <c r="O304" s="55"/>
      <c r="P304" s="102"/>
    </row>
    <row r="305" spans="2:16" ht="16.5" customHeight="1" x14ac:dyDescent="0.25">
      <c r="B305" s="98"/>
      <c r="C305" s="18"/>
      <c r="D305" s="18"/>
      <c r="E305" s="18"/>
      <c r="F305" s="18"/>
      <c r="G305" s="124" t="s">
        <v>70</v>
      </c>
      <c r="H305" s="18"/>
      <c r="I305" s="55"/>
      <c r="J305" s="55"/>
      <c r="K305" s="55"/>
      <c r="L305" s="55"/>
      <c r="M305" s="55"/>
      <c r="N305" s="55">
        <f t="shared" si="2"/>
        <v>0</v>
      </c>
      <c r="O305" s="55"/>
      <c r="P305" s="102"/>
    </row>
    <row r="306" spans="2:16" ht="16.5" customHeight="1" x14ac:dyDescent="0.25">
      <c r="B306" s="9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02"/>
    </row>
    <row r="307" spans="2:16" ht="16.5" customHeight="1" x14ac:dyDescent="0.25">
      <c r="B307" s="98"/>
      <c r="C307" s="18"/>
      <c r="D307" s="18"/>
      <c r="E307" s="18"/>
      <c r="F307" s="18"/>
      <c r="G307" s="31" t="s">
        <v>9</v>
      </c>
      <c r="H307" s="18"/>
      <c r="I307" s="55">
        <f>SUM(I299:I305)</f>
        <v>0</v>
      </c>
      <c r="J307" s="55">
        <f t="shared" ref="J307:O307" si="3">SUM(J299:J305)</f>
        <v>0</v>
      </c>
      <c r="K307" s="55">
        <f t="shared" si="3"/>
        <v>0</v>
      </c>
      <c r="L307" s="55">
        <f t="shared" si="3"/>
        <v>0</v>
      </c>
      <c r="M307" s="55">
        <f t="shared" si="3"/>
        <v>0</v>
      </c>
      <c r="N307" s="55">
        <f t="shared" si="3"/>
        <v>0</v>
      </c>
      <c r="O307" s="55">
        <f t="shared" si="3"/>
        <v>0</v>
      </c>
      <c r="P307" s="102"/>
    </row>
    <row r="308" spans="2:16" ht="16.5" customHeight="1" x14ac:dyDescent="0.25">
      <c r="B308" s="9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02"/>
    </row>
    <row r="309" spans="2:16" ht="16.5" customHeight="1" x14ac:dyDescent="0.25">
      <c r="B309" s="152"/>
      <c r="C309" s="18"/>
      <c r="D309" s="18"/>
      <c r="E309" s="18"/>
      <c r="F309" s="18"/>
      <c r="G309" s="31" t="s">
        <v>71</v>
      </c>
      <c r="H309" s="18"/>
      <c r="I309" s="18"/>
      <c r="J309" s="18"/>
      <c r="K309" s="18"/>
      <c r="L309" s="18"/>
      <c r="M309" s="18"/>
      <c r="N309" s="18"/>
      <c r="O309" s="18"/>
      <c r="P309" s="102"/>
    </row>
    <row r="310" spans="2:16" ht="16.5" customHeight="1" x14ac:dyDescent="0.25">
      <c r="B310" s="98"/>
      <c r="C310" s="18"/>
      <c r="D310" s="18"/>
      <c r="E310" s="18"/>
      <c r="F310" s="18"/>
      <c r="G310" s="68" t="s">
        <v>143</v>
      </c>
      <c r="H310" s="18"/>
      <c r="I310" s="55"/>
      <c r="J310" s="55"/>
      <c r="K310" s="55"/>
      <c r="L310" s="55"/>
      <c r="M310" s="55"/>
      <c r="N310" s="55">
        <f>L310+M310</f>
        <v>0</v>
      </c>
      <c r="O310" s="55"/>
      <c r="P310" s="102"/>
    </row>
    <row r="311" spans="2:16" ht="16.5" customHeight="1" x14ac:dyDescent="0.25">
      <c r="B311" s="147"/>
      <c r="C311" s="18"/>
      <c r="D311" s="18"/>
      <c r="E311" s="18"/>
      <c r="F311" s="18"/>
      <c r="G311" s="68" t="s">
        <v>141</v>
      </c>
      <c r="H311" s="18"/>
      <c r="I311" s="55"/>
      <c r="J311" s="55"/>
      <c r="K311" s="55"/>
      <c r="L311" s="55"/>
      <c r="M311" s="55"/>
      <c r="N311" s="55">
        <f>L311+M311</f>
        <v>0</v>
      </c>
      <c r="O311" s="55"/>
      <c r="P311" s="102"/>
    </row>
    <row r="312" spans="2:16" ht="16.5" customHeight="1" x14ac:dyDescent="0.25">
      <c r="B312" s="98"/>
      <c r="C312" s="18"/>
      <c r="D312" s="18"/>
      <c r="E312" s="18"/>
      <c r="F312" s="18"/>
      <c r="G312" s="68" t="s">
        <v>142</v>
      </c>
      <c r="H312" s="18"/>
      <c r="I312" s="55"/>
      <c r="J312" s="55"/>
      <c r="K312" s="55"/>
      <c r="L312" s="55"/>
      <c r="M312" s="55"/>
      <c r="N312" s="55"/>
      <c r="O312" s="55"/>
      <c r="P312" s="102"/>
    </row>
    <row r="313" spans="2:16" ht="16.5" customHeight="1" x14ac:dyDescent="0.25">
      <c r="B313" s="148"/>
      <c r="C313" s="18"/>
      <c r="D313" s="18"/>
      <c r="E313" s="18"/>
      <c r="F313" s="18"/>
      <c r="G313" s="68" t="s">
        <v>144</v>
      </c>
      <c r="H313" s="18"/>
      <c r="I313" s="55"/>
      <c r="J313" s="55"/>
      <c r="K313" s="55"/>
      <c r="L313" s="55"/>
      <c r="M313" s="55"/>
      <c r="N313" s="55"/>
      <c r="O313" s="55"/>
      <c r="P313" s="102"/>
    </row>
    <row r="314" spans="2:16" ht="16.5" customHeight="1" x14ac:dyDescent="0.25">
      <c r="B314" s="147"/>
      <c r="C314" s="18"/>
      <c r="D314" s="18"/>
      <c r="E314" s="18"/>
      <c r="F314" s="18"/>
      <c r="G314" s="68" t="s">
        <v>145</v>
      </c>
      <c r="H314" s="18"/>
      <c r="I314" s="55"/>
      <c r="J314" s="55"/>
      <c r="K314" s="55"/>
      <c r="L314" s="55"/>
      <c r="M314" s="55"/>
      <c r="N314" s="55"/>
      <c r="O314" s="55"/>
      <c r="P314" s="102"/>
    </row>
    <row r="315" spans="2:16" ht="16.5" customHeight="1" x14ac:dyDescent="0.25">
      <c r="B315" s="98"/>
      <c r="C315" s="18"/>
      <c r="D315" s="18"/>
      <c r="E315" s="18"/>
      <c r="F315" s="18"/>
      <c r="G315" s="68" t="s">
        <v>146</v>
      </c>
      <c r="H315" s="18"/>
      <c r="I315" s="55"/>
      <c r="J315" s="55"/>
      <c r="K315" s="55"/>
      <c r="L315" s="55"/>
      <c r="M315" s="55"/>
      <c r="N315" s="55"/>
      <c r="O315" s="55"/>
      <c r="P315" s="102"/>
    </row>
    <row r="316" spans="2:16" ht="16.5" customHeight="1" x14ac:dyDescent="0.25">
      <c r="B316" s="168"/>
      <c r="C316" s="18"/>
      <c r="D316" s="18"/>
      <c r="E316" s="18"/>
      <c r="F316" s="18"/>
      <c r="G316" s="68" t="s">
        <v>147</v>
      </c>
      <c r="H316" s="18"/>
      <c r="I316" s="55"/>
      <c r="J316" s="55"/>
      <c r="K316" s="55"/>
      <c r="L316" s="55"/>
      <c r="M316" s="55"/>
      <c r="N316" s="55"/>
      <c r="O316" s="55"/>
      <c r="P316" s="102"/>
    </row>
    <row r="317" spans="2:16" ht="16.5" customHeight="1" x14ac:dyDescent="0.25">
      <c r="B317" s="147"/>
      <c r="C317" s="18"/>
      <c r="D317" s="18"/>
      <c r="E317" s="18"/>
      <c r="F317" s="18"/>
      <c r="G317" s="68" t="s">
        <v>148</v>
      </c>
      <c r="H317" s="18"/>
      <c r="I317" s="55"/>
      <c r="J317" s="55"/>
      <c r="K317" s="55"/>
      <c r="L317" s="55"/>
      <c r="M317" s="55"/>
      <c r="N317" s="55"/>
      <c r="O317" s="55"/>
      <c r="P317" s="102"/>
    </row>
    <row r="318" spans="2:16" ht="16.5" customHeight="1" x14ac:dyDescent="0.25">
      <c r="B318" s="147"/>
      <c r="C318" s="18"/>
      <c r="D318" s="18"/>
      <c r="E318" s="18"/>
      <c r="F318" s="18"/>
      <c r="G318" s="68" t="s">
        <v>149</v>
      </c>
      <c r="H318" s="18"/>
      <c r="I318" s="55"/>
      <c r="J318" s="55"/>
      <c r="K318" s="55"/>
      <c r="L318" s="55"/>
      <c r="M318" s="55"/>
      <c r="N318" s="55"/>
      <c r="O318" s="55"/>
      <c r="P318" s="102"/>
    </row>
    <row r="319" spans="2:16" ht="16.5" customHeight="1" x14ac:dyDescent="0.25">
      <c r="B319" s="98"/>
      <c r="C319" s="18"/>
      <c r="D319" s="18"/>
      <c r="E319" s="18"/>
      <c r="F319" s="18"/>
      <c r="G319" s="68" t="s">
        <v>150</v>
      </c>
      <c r="H319" s="18"/>
      <c r="I319" s="55"/>
      <c r="J319" s="55"/>
      <c r="K319" s="55"/>
      <c r="L319" s="55"/>
      <c r="M319" s="55"/>
      <c r="N319" s="55"/>
      <c r="O319" s="55"/>
      <c r="P319" s="102"/>
    </row>
    <row r="320" spans="2:16" ht="16.5" customHeight="1" x14ac:dyDescent="0.25">
      <c r="B320" s="147"/>
      <c r="C320" s="18"/>
      <c r="D320" s="18"/>
      <c r="E320" s="18"/>
      <c r="F320" s="18"/>
      <c r="G320" s="68" t="s">
        <v>72</v>
      </c>
      <c r="H320" s="18"/>
      <c r="I320" s="55"/>
      <c r="J320" s="55"/>
      <c r="K320" s="55"/>
      <c r="L320" s="55"/>
      <c r="M320" s="55"/>
      <c r="N320" s="55"/>
      <c r="O320" s="55"/>
      <c r="P320" s="102"/>
    </row>
    <row r="321" spans="2:16" ht="16.5" customHeight="1" x14ac:dyDescent="0.25">
      <c r="B321" s="9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02"/>
    </row>
    <row r="322" spans="2:16" ht="16.5" customHeight="1" x14ac:dyDescent="0.25">
      <c r="B322" s="98"/>
      <c r="C322" s="18"/>
      <c r="D322" s="18"/>
      <c r="E322" s="18"/>
      <c r="F322" s="18"/>
      <c r="G322" s="31" t="s">
        <v>9</v>
      </c>
      <c r="H322" s="18"/>
      <c r="I322" s="55">
        <f>SUM(I310:I320)</f>
        <v>0</v>
      </c>
      <c r="J322" s="55">
        <f t="shared" ref="J322:O322" si="4">SUM(J310:J320)</f>
        <v>0</v>
      </c>
      <c r="K322" s="55">
        <f t="shared" si="4"/>
        <v>0</v>
      </c>
      <c r="L322" s="55">
        <f t="shared" si="4"/>
        <v>0</v>
      </c>
      <c r="M322" s="55">
        <f t="shared" si="4"/>
        <v>0</v>
      </c>
      <c r="N322" s="55">
        <f t="shared" si="4"/>
        <v>0</v>
      </c>
      <c r="O322" s="55">
        <f t="shared" si="4"/>
        <v>0</v>
      </c>
      <c r="P322" s="102"/>
    </row>
    <row r="323" spans="2:16" ht="16.5" customHeight="1" x14ac:dyDescent="0.25">
      <c r="B323" s="98"/>
      <c r="C323" s="18"/>
      <c r="D323" s="18"/>
      <c r="E323" s="18"/>
      <c r="F323" s="18"/>
      <c r="G323" s="31"/>
      <c r="H323" s="18"/>
      <c r="I323" s="18"/>
      <c r="J323" s="18"/>
      <c r="K323" s="18"/>
      <c r="L323" s="18"/>
      <c r="M323" s="18"/>
      <c r="N323" s="18"/>
      <c r="O323" s="18"/>
      <c r="P323" s="102"/>
    </row>
    <row r="324" spans="2:16" ht="14.25" customHeight="1" x14ac:dyDescent="0.25">
      <c r="B324" s="98"/>
      <c r="C324" s="18"/>
      <c r="D324" s="18"/>
      <c r="E324" s="18"/>
      <c r="F324" s="18"/>
      <c r="G324" s="31"/>
      <c r="H324" s="18"/>
      <c r="I324" s="18"/>
      <c r="J324" s="18"/>
      <c r="K324" s="18"/>
      <c r="L324" s="18"/>
      <c r="M324" s="18"/>
      <c r="N324" s="18"/>
      <c r="O324" s="116" t="s">
        <v>320</v>
      </c>
      <c r="P324" s="102"/>
    </row>
    <row r="325" spans="2:16" ht="16.5" customHeight="1" thickBot="1" x14ac:dyDescent="0.3">
      <c r="B325" s="139"/>
      <c r="C325" s="141"/>
      <c r="D325" s="141"/>
      <c r="E325" s="141"/>
      <c r="F325" s="141"/>
      <c r="G325" s="171"/>
      <c r="H325" s="141"/>
      <c r="I325" s="141"/>
      <c r="J325" s="141"/>
      <c r="K325" s="141"/>
      <c r="L325" s="141"/>
      <c r="M325" s="141"/>
      <c r="N325" s="141"/>
      <c r="O325" s="117" t="s">
        <v>316</v>
      </c>
      <c r="P325" s="142"/>
    </row>
    <row r="326" spans="2:16" ht="16.5" customHeight="1" x14ac:dyDescent="0.25">
      <c r="G326" s="80"/>
      <c r="I326" s="18"/>
      <c r="J326" s="18"/>
      <c r="K326" s="18"/>
      <c r="L326" s="18"/>
      <c r="M326" s="18"/>
      <c r="N326" s="18"/>
      <c r="O326" s="18"/>
    </row>
    <row r="327" spans="2:16" ht="16.5" customHeight="1" thickBot="1" x14ac:dyDescent="0.3">
      <c r="G327" s="80"/>
      <c r="I327" s="18"/>
      <c r="J327" s="18"/>
      <c r="K327" s="18"/>
      <c r="L327" s="18"/>
      <c r="M327" s="18"/>
      <c r="N327" s="18"/>
      <c r="O327" s="18"/>
    </row>
    <row r="328" spans="2:16" x14ac:dyDescent="0.25">
      <c r="B328" s="95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7"/>
    </row>
    <row r="329" spans="2:16" ht="15.6" x14ac:dyDescent="0.25">
      <c r="B329" s="98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100"/>
      <c r="P329" s="101"/>
    </row>
    <row r="330" spans="2:16" ht="17.399999999999999" x14ac:dyDescent="0.25">
      <c r="B330" s="98"/>
      <c r="C330" s="99"/>
      <c r="D330" s="99"/>
      <c r="E330" s="99"/>
      <c r="F330" s="228" t="s">
        <v>339</v>
      </c>
      <c r="G330" s="228"/>
      <c r="H330" s="228"/>
      <c r="I330" s="228"/>
      <c r="J330" s="228"/>
      <c r="K330" s="228"/>
      <c r="L330" s="228"/>
      <c r="M330" s="99"/>
      <c r="N330" s="99"/>
      <c r="O330" s="99"/>
      <c r="P330" s="102"/>
    </row>
    <row r="331" spans="2:16" ht="17.399999999999999" x14ac:dyDescent="0.25">
      <c r="B331" s="98"/>
      <c r="C331" s="99"/>
      <c r="D331" s="99"/>
      <c r="E331" s="99"/>
      <c r="F331" s="228" t="s">
        <v>381</v>
      </c>
      <c r="G331" s="228"/>
      <c r="H331" s="228"/>
      <c r="I331" s="228"/>
      <c r="J331" s="228"/>
      <c r="K331" s="228"/>
      <c r="L331" s="228"/>
      <c r="M331" s="103"/>
      <c r="N331" s="99"/>
      <c r="O331" s="99"/>
      <c r="P331" s="102"/>
    </row>
    <row r="332" spans="2:16" ht="17.399999999999999" x14ac:dyDescent="0.25">
      <c r="B332" s="98"/>
      <c r="C332" s="99"/>
      <c r="D332" s="99"/>
      <c r="E332" s="99"/>
      <c r="F332" s="229" t="s">
        <v>152</v>
      </c>
      <c r="G332" s="229"/>
      <c r="H332" s="229"/>
      <c r="I332" s="229"/>
      <c r="J332" s="229"/>
      <c r="K332" s="229"/>
      <c r="L332" s="229"/>
      <c r="M332" s="103"/>
      <c r="N332" s="99"/>
      <c r="O332" s="99"/>
      <c r="P332" s="102"/>
    </row>
    <row r="333" spans="2:16" ht="17.399999999999999" x14ac:dyDescent="0.25">
      <c r="B333" s="98"/>
      <c r="C333" s="104"/>
      <c r="D333" s="99"/>
      <c r="E333" s="99"/>
      <c r="F333" s="229"/>
      <c r="G333" s="229"/>
      <c r="H333" s="229"/>
      <c r="I333" s="229"/>
      <c r="J333" s="229"/>
      <c r="K333" s="229"/>
      <c r="L333" s="229"/>
      <c r="M333" s="99"/>
      <c r="N333" s="99"/>
      <c r="O333" s="99"/>
      <c r="P333" s="102"/>
    </row>
    <row r="334" spans="2:16" x14ac:dyDescent="0.25">
      <c r="B334" s="147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02"/>
    </row>
    <row r="335" spans="2:16" ht="17.399999999999999" x14ac:dyDescent="0.25">
      <c r="B335" s="98"/>
      <c r="C335" s="75" t="s">
        <v>1</v>
      </c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02"/>
    </row>
    <row r="336" spans="2:16" ht="17.399999999999999" x14ac:dyDescent="0.25">
      <c r="B336" s="98"/>
      <c r="C336" s="75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02"/>
    </row>
    <row r="337" spans="2:16" ht="17.399999999999999" x14ac:dyDescent="0.25">
      <c r="B337" s="162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02"/>
    </row>
    <row r="338" spans="2:16" ht="22.5" customHeight="1" x14ac:dyDescent="0.25">
      <c r="B338" s="150"/>
      <c r="C338" s="29" t="s">
        <v>2</v>
      </c>
      <c r="D338" s="18"/>
      <c r="E338" s="200" t="str">
        <f>+E44</f>
        <v>15MSU0945E</v>
      </c>
      <c r="F338" s="252"/>
      <c r="G338" s="252"/>
      <c r="H338" s="201"/>
      <c r="I338" s="18"/>
      <c r="J338" s="18"/>
      <c r="K338" s="18"/>
      <c r="L338" s="18"/>
      <c r="M338" s="18"/>
      <c r="N338" s="18"/>
      <c r="O338" s="18"/>
      <c r="P338" s="102"/>
    </row>
    <row r="339" spans="2:16" x14ac:dyDescent="0.25">
      <c r="B339" s="147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02"/>
    </row>
    <row r="340" spans="2:16" x14ac:dyDescent="0.25">
      <c r="B340" s="147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02"/>
    </row>
    <row r="341" spans="2:16" ht="21" customHeight="1" x14ac:dyDescent="0.25">
      <c r="B341" s="98"/>
      <c r="C341" s="29" t="s">
        <v>295</v>
      </c>
      <c r="D341" s="18"/>
      <c r="E341" s="36" t="str">
        <f>+E45</f>
        <v>UNIVERSIDAD MEXIQUENSE DEL BICENTENARIO</v>
      </c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102"/>
    </row>
    <row r="342" spans="2:16" x14ac:dyDescent="0.25">
      <c r="B342" s="163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02"/>
    </row>
    <row r="343" spans="2:16" x14ac:dyDescent="0.25">
      <c r="B343" s="147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02"/>
    </row>
    <row r="344" spans="2:16" x14ac:dyDescent="0.25">
      <c r="B344" s="147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02"/>
    </row>
    <row r="345" spans="2:16" x14ac:dyDescent="0.25">
      <c r="B345" s="147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02"/>
    </row>
    <row r="346" spans="2:16" x14ac:dyDescent="0.25">
      <c r="B346" s="147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02"/>
    </row>
    <row r="347" spans="2:16" x14ac:dyDescent="0.25">
      <c r="B347" s="9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02"/>
    </row>
    <row r="348" spans="2:16" x14ac:dyDescent="0.25">
      <c r="B348" s="147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02"/>
    </row>
    <row r="349" spans="2:16" x14ac:dyDescent="0.25">
      <c r="B349" s="152"/>
      <c r="C349" s="202" t="str">
        <f>IF($E$44="","",VLOOKUP($E$44,Base!$A$3:$GP$3,192,FALSE))</f>
        <v>LIC. JUAN JOSÉ OLIN FABELA</v>
      </c>
      <c r="D349" s="202"/>
      <c r="E349" s="202"/>
      <c r="F349" s="202"/>
      <c r="G349" s="202"/>
      <c r="H349" s="18"/>
      <c r="I349" s="18"/>
      <c r="J349" s="18"/>
      <c r="K349" s="18"/>
      <c r="L349" s="46" t="s">
        <v>41</v>
      </c>
      <c r="M349" s="46" t="s">
        <v>42</v>
      </c>
      <c r="N349" s="46" t="s">
        <v>43</v>
      </c>
      <c r="O349" s="18"/>
      <c r="P349" s="102"/>
    </row>
    <row r="350" spans="2:16" ht="21.75" customHeight="1" x14ac:dyDescent="0.25">
      <c r="B350" s="164" t="s">
        <v>39</v>
      </c>
      <c r="C350" s="18"/>
      <c r="D350" s="18"/>
      <c r="E350" s="18"/>
      <c r="F350" s="18"/>
      <c r="G350" s="18"/>
      <c r="H350" s="18"/>
      <c r="I350" s="18"/>
      <c r="J350" s="30" t="s">
        <v>40</v>
      </c>
      <c r="K350" s="18"/>
      <c r="L350" s="47">
        <v>2014</v>
      </c>
      <c r="M350" s="47">
        <v>9</v>
      </c>
      <c r="N350" s="47">
        <v>30</v>
      </c>
      <c r="O350" s="18"/>
      <c r="P350" s="102"/>
    </row>
    <row r="351" spans="2:16" x14ac:dyDescent="0.25">
      <c r="B351" s="147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02"/>
    </row>
    <row r="352" spans="2:16" ht="14.4" thickBot="1" x14ac:dyDescent="0.3">
      <c r="B352" s="9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02"/>
    </row>
    <row r="353" spans="2:16" ht="15" customHeight="1" x14ac:dyDescent="0.25">
      <c r="B353" s="152"/>
      <c r="C353" s="239" t="s">
        <v>290</v>
      </c>
      <c r="D353" s="240"/>
      <c r="E353" s="240"/>
      <c r="F353" s="240"/>
      <c r="G353" s="240"/>
      <c r="H353" s="240"/>
      <c r="I353" s="240"/>
      <c r="J353" s="240"/>
      <c r="K353" s="240"/>
      <c r="L353" s="240"/>
      <c r="M353" s="240"/>
      <c r="N353" s="240"/>
      <c r="O353" s="241"/>
      <c r="P353" s="102"/>
    </row>
    <row r="354" spans="2:16" ht="15" customHeight="1" x14ac:dyDescent="0.25">
      <c r="B354" s="98"/>
      <c r="C354" s="242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4"/>
      <c r="P354" s="102"/>
    </row>
    <row r="355" spans="2:16" ht="15" customHeight="1" x14ac:dyDescent="0.25">
      <c r="B355" s="147"/>
      <c r="C355" s="245" t="s">
        <v>151</v>
      </c>
      <c r="D355" s="246"/>
      <c r="E355" s="246"/>
      <c r="F355" s="246"/>
      <c r="G355" s="246"/>
      <c r="H355" s="246"/>
      <c r="I355" s="246"/>
      <c r="J355" s="246"/>
      <c r="K355" s="246"/>
      <c r="L355" s="246"/>
      <c r="M355" s="246"/>
      <c r="N355" s="246"/>
      <c r="O355" s="247"/>
      <c r="P355" s="102"/>
    </row>
    <row r="356" spans="2:16" ht="14.4" thickBot="1" x14ac:dyDescent="0.3">
      <c r="B356" s="147"/>
      <c r="C356" s="248"/>
      <c r="D356" s="249"/>
      <c r="E356" s="249"/>
      <c r="F356" s="249"/>
      <c r="G356" s="249"/>
      <c r="H356" s="249"/>
      <c r="I356" s="249"/>
      <c r="J356" s="249"/>
      <c r="K356" s="249"/>
      <c r="L356" s="249"/>
      <c r="M356" s="249"/>
      <c r="N356" s="249"/>
      <c r="O356" s="250"/>
      <c r="P356" s="102"/>
    </row>
    <row r="357" spans="2:16" x14ac:dyDescent="0.25">
      <c r="B357" s="147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102"/>
    </row>
    <row r="358" spans="2:16" ht="14.4" thickBot="1" x14ac:dyDescent="0.3">
      <c r="B358" s="156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42"/>
    </row>
    <row r="359" spans="2:16" x14ac:dyDescent="0.25">
      <c r="B359" s="30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</row>
    <row r="360" spans="2:16" ht="14.4" thickBot="1" x14ac:dyDescent="0.3">
      <c r="B360" s="30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</row>
    <row r="361" spans="2:16" ht="9" customHeight="1" x14ac:dyDescent="0.25">
      <c r="B361" s="106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9"/>
      <c r="P361" s="113"/>
    </row>
    <row r="362" spans="2:16" ht="27" customHeight="1" x14ac:dyDescent="0.25">
      <c r="B362" s="107"/>
      <c r="C362" s="75" t="s">
        <v>339</v>
      </c>
      <c r="D362" s="75"/>
      <c r="E362" s="75"/>
      <c r="F362" s="75"/>
      <c r="G362" s="75"/>
      <c r="H362" s="75"/>
      <c r="I362" s="18"/>
      <c r="J362" s="18"/>
      <c r="K362" s="75" t="s">
        <v>383</v>
      </c>
      <c r="L362" s="75"/>
      <c r="M362" s="75"/>
      <c r="N362" s="212" t="s">
        <v>322</v>
      </c>
      <c r="O362" s="212"/>
      <c r="P362" s="114"/>
    </row>
    <row r="363" spans="2:16" ht="12" customHeight="1" x14ac:dyDescent="0.25">
      <c r="B363" s="107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1"/>
      <c r="P363" s="112"/>
    </row>
    <row r="364" spans="2:16" ht="17.399999999999999" x14ac:dyDescent="0.25">
      <c r="B364" s="98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6"/>
      <c r="P364" s="102"/>
    </row>
    <row r="365" spans="2:16" ht="17.399999999999999" x14ac:dyDescent="0.25">
      <c r="B365" s="98"/>
      <c r="C365" s="127" t="s">
        <v>389</v>
      </c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02"/>
    </row>
    <row r="366" spans="2:16" x14ac:dyDescent="0.25">
      <c r="B366" s="9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02"/>
    </row>
    <row r="367" spans="2:16" ht="15.6" x14ac:dyDescent="0.25">
      <c r="B367" s="173"/>
      <c r="C367" s="61" t="s">
        <v>73</v>
      </c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02"/>
    </row>
    <row r="368" spans="2:16" x14ac:dyDescent="0.25">
      <c r="B368" s="98"/>
      <c r="C368" s="230" t="s">
        <v>302</v>
      </c>
      <c r="D368" s="230"/>
      <c r="E368" s="230"/>
      <c r="F368" s="230"/>
      <c r="G368" s="18"/>
      <c r="H368" s="18"/>
      <c r="I368" s="72" t="s">
        <v>74</v>
      </c>
      <c r="J368" s="18"/>
      <c r="K368" s="18"/>
      <c r="L368" s="62" t="s">
        <v>81</v>
      </c>
      <c r="M368" s="18"/>
      <c r="N368" s="18"/>
      <c r="O368" s="18"/>
      <c r="P368" s="102"/>
    </row>
    <row r="369" spans="2:16" x14ac:dyDescent="0.25">
      <c r="B369" s="98"/>
      <c r="C369" s="230"/>
      <c r="D369" s="230"/>
      <c r="E369" s="230"/>
      <c r="F369" s="230"/>
      <c r="G369" s="18"/>
      <c r="H369" s="18"/>
      <c r="I369" s="18"/>
      <c r="J369" s="18"/>
      <c r="K369" s="18"/>
      <c r="L369" s="18"/>
      <c r="M369" s="18"/>
      <c r="N369" s="18"/>
      <c r="O369" s="18"/>
      <c r="P369" s="102"/>
    </row>
    <row r="370" spans="2:16" ht="16.5" customHeight="1" x14ac:dyDescent="0.25">
      <c r="B370" s="147"/>
      <c r="C370" s="230"/>
      <c r="D370" s="230"/>
      <c r="E370" s="230"/>
      <c r="F370" s="230"/>
      <c r="G370" s="18"/>
      <c r="H370" s="18"/>
      <c r="I370" s="30" t="s">
        <v>75</v>
      </c>
      <c r="J370" s="18"/>
      <c r="K370" s="18"/>
      <c r="L370" s="56">
        <f>IF($E$44="","",VLOOKUP($E$44,Base!$A$3:$GI$3,72,FALSE))</f>
        <v>197</v>
      </c>
      <c r="M370" s="18"/>
      <c r="N370" s="18"/>
      <c r="O370" s="18"/>
      <c r="P370" s="102"/>
    </row>
    <row r="371" spans="2:16" ht="16.5" customHeight="1" x14ac:dyDescent="0.25">
      <c r="B371" s="147"/>
      <c r="C371" s="119"/>
      <c r="D371" s="119"/>
      <c r="E371" s="119"/>
      <c r="F371" s="119"/>
      <c r="G371" s="18"/>
      <c r="H371" s="18"/>
      <c r="I371" s="30" t="s">
        <v>76</v>
      </c>
      <c r="J371" s="18"/>
      <c r="K371" s="18"/>
      <c r="L371" s="56">
        <f>IF($E$44="","",VLOOKUP($E$44,Base!$A$3:$GI$3,73,FALSE))</f>
        <v>0</v>
      </c>
      <c r="M371" s="18"/>
      <c r="N371" s="18"/>
      <c r="O371" s="18"/>
      <c r="P371" s="102"/>
    </row>
    <row r="372" spans="2:16" ht="16.5" customHeight="1" x14ac:dyDescent="0.25">
      <c r="B372" s="147"/>
      <c r="C372" s="119"/>
      <c r="D372" s="119"/>
      <c r="E372" s="119"/>
      <c r="F372" s="119"/>
      <c r="G372" s="18"/>
      <c r="H372" s="18"/>
      <c r="I372" s="30" t="s">
        <v>77</v>
      </c>
      <c r="J372" s="18"/>
      <c r="K372" s="18"/>
      <c r="L372" s="56">
        <f>IF($E$44="","",VLOOKUP($E$44,Base!$A$3:$GI$3,74,FALSE))</f>
        <v>2</v>
      </c>
      <c r="M372" s="18"/>
      <c r="N372" s="18"/>
      <c r="O372" s="18"/>
      <c r="P372" s="102"/>
    </row>
    <row r="373" spans="2:16" ht="16.5" customHeight="1" x14ac:dyDescent="0.25">
      <c r="B373" s="147"/>
      <c r="C373" s="119"/>
      <c r="D373" s="119"/>
      <c r="E373" s="119"/>
      <c r="F373" s="119"/>
      <c r="G373" s="18"/>
      <c r="H373" s="18"/>
      <c r="I373" s="30" t="s">
        <v>78</v>
      </c>
      <c r="J373" s="18"/>
      <c r="K373" s="18"/>
      <c r="L373" s="56">
        <f>IF($E$44="","",VLOOKUP($E$44,Base!$A$3:$GI$3,75,FALSE))</f>
        <v>50</v>
      </c>
      <c r="M373" s="18"/>
      <c r="N373" s="18"/>
      <c r="O373" s="18"/>
      <c r="P373" s="102"/>
    </row>
    <row r="374" spans="2:16" ht="16.5" customHeight="1" x14ac:dyDescent="0.25">
      <c r="B374" s="98"/>
      <c r="C374" s="119"/>
      <c r="D374" s="119"/>
      <c r="E374" s="119"/>
      <c r="F374" s="119"/>
      <c r="G374" s="18"/>
      <c r="H374" s="18"/>
      <c r="I374" s="30" t="s">
        <v>79</v>
      </c>
      <c r="J374" s="18"/>
      <c r="K374" s="18"/>
      <c r="L374" s="56">
        <f>IF($E$44="","",VLOOKUP($E$44,Base!$A$3:$GI$3,76,FALSE))</f>
        <v>62</v>
      </c>
      <c r="M374" s="18"/>
      <c r="N374" s="18"/>
      <c r="O374" s="18"/>
      <c r="P374" s="102"/>
    </row>
    <row r="375" spans="2:16" ht="16.5" customHeight="1" x14ac:dyDescent="0.25">
      <c r="B375" s="149"/>
      <c r="C375" s="119"/>
      <c r="D375" s="119"/>
      <c r="E375" s="119"/>
      <c r="F375" s="119"/>
      <c r="G375" s="18"/>
      <c r="H375" s="18"/>
      <c r="I375" s="30" t="s">
        <v>80</v>
      </c>
      <c r="J375" s="18"/>
      <c r="K375" s="18"/>
      <c r="L375" s="56">
        <f>IF($E$44="","",VLOOKUP($E$44,Base!$A$3:$GI$3,77,FALSE))</f>
        <v>11</v>
      </c>
      <c r="M375" s="18"/>
      <c r="N375" s="18"/>
      <c r="O375" s="18"/>
      <c r="P375" s="102"/>
    </row>
    <row r="376" spans="2:16" ht="16.5" customHeight="1" x14ac:dyDescent="0.25">
      <c r="B376" s="98"/>
      <c r="C376" s="119"/>
      <c r="D376" s="119"/>
      <c r="E376" s="119"/>
      <c r="F376" s="119"/>
      <c r="G376" s="18"/>
      <c r="H376" s="18"/>
      <c r="I376" s="29"/>
      <c r="J376" s="18"/>
      <c r="K376" s="18"/>
      <c r="L376" s="18"/>
      <c r="M376" s="18"/>
      <c r="N376" s="18"/>
      <c r="O376" s="18"/>
      <c r="P376" s="102"/>
    </row>
    <row r="377" spans="2:16" ht="16.5" customHeight="1" x14ac:dyDescent="0.25">
      <c r="B377" s="147"/>
      <c r="C377" s="119"/>
      <c r="D377" s="119"/>
      <c r="E377" s="119"/>
      <c r="F377" s="119"/>
      <c r="G377" s="18"/>
      <c r="H377" s="18"/>
      <c r="I377" s="72" t="s">
        <v>9</v>
      </c>
      <c r="J377" s="18"/>
      <c r="K377" s="18"/>
      <c r="L377" s="56">
        <f>SUM(L370:L375)</f>
        <v>322</v>
      </c>
      <c r="M377" s="18"/>
      <c r="N377" s="18"/>
      <c r="O377" s="18"/>
      <c r="P377" s="102"/>
    </row>
    <row r="378" spans="2:16" x14ac:dyDescent="0.25">
      <c r="B378" s="147"/>
      <c r="C378" s="119"/>
      <c r="D378" s="119"/>
      <c r="E378" s="119"/>
      <c r="F378" s="119"/>
      <c r="G378" s="18"/>
      <c r="H378" s="18"/>
      <c r="I378" s="72"/>
      <c r="J378" s="18"/>
      <c r="K378" s="18"/>
      <c r="L378" s="18"/>
      <c r="M378" s="18"/>
      <c r="N378" s="18"/>
      <c r="O378" s="18"/>
      <c r="P378" s="102"/>
    </row>
    <row r="379" spans="2:16" ht="10.5" customHeight="1" x14ac:dyDescent="0.25">
      <c r="B379" s="98"/>
      <c r="C379" s="119"/>
      <c r="D379" s="119"/>
      <c r="E379" s="119"/>
      <c r="F379" s="119"/>
      <c r="G379" s="18"/>
      <c r="H379" s="18"/>
      <c r="I379" s="18"/>
      <c r="J379" s="18"/>
      <c r="K379" s="18"/>
      <c r="L379" s="18"/>
      <c r="M379" s="18"/>
      <c r="N379" s="18"/>
      <c r="O379" s="18"/>
      <c r="P379" s="102"/>
    </row>
    <row r="380" spans="2:16" x14ac:dyDescent="0.25">
      <c r="B380" s="98"/>
      <c r="C380" s="119"/>
      <c r="D380" s="119"/>
      <c r="E380" s="119"/>
      <c r="F380" s="119"/>
      <c r="G380" s="18"/>
      <c r="H380" s="18"/>
      <c r="I380" s="18"/>
      <c r="J380" s="18"/>
      <c r="K380" s="18"/>
      <c r="L380" s="18"/>
      <c r="M380" s="18"/>
      <c r="N380" s="18"/>
      <c r="O380" s="18"/>
      <c r="P380" s="102"/>
    </row>
    <row r="381" spans="2:16" ht="15.6" x14ac:dyDescent="0.25">
      <c r="B381" s="98"/>
      <c r="C381" s="76" t="s">
        <v>82</v>
      </c>
      <c r="D381" s="119"/>
      <c r="E381" s="119"/>
      <c r="F381" s="119"/>
      <c r="G381" s="18"/>
      <c r="H381" s="18"/>
      <c r="I381" s="18"/>
      <c r="J381" s="18"/>
      <c r="K381" s="18"/>
      <c r="L381" s="18"/>
      <c r="M381" s="18"/>
      <c r="N381" s="18"/>
      <c r="O381" s="18"/>
      <c r="P381" s="102"/>
    </row>
    <row r="382" spans="2:16" ht="15" customHeight="1" x14ac:dyDescent="0.25">
      <c r="B382" s="174"/>
      <c r="C382" s="119"/>
      <c r="D382" s="119"/>
      <c r="E382" s="119"/>
      <c r="F382" s="119"/>
      <c r="G382" s="18"/>
      <c r="H382" s="18"/>
      <c r="I382" s="238" t="s">
        <v>83</v>
      </c>
      <c r="J382" s="238"/>
      <c r="K382" s="18"/>
      <c r="L382" s="251" t="s">
        <v>86</v>
      </c>
      <c r="M382" s="227" t="s">
        <v>87</v>
      </c>
      <c r="N382" s="227"/>
      <c r="O382" s="227"/>
      <c r="P382" s="102"/>
    </row>
    <row r="383" spans="2:16" x14ac:dyDescent="0.25">
      <c r="B383" s="147"/>
      <c r="C383" s="230" t="s">
        <v>303</v>
      </c>
      <c r="D383" s="230"/>
      <c r="E383" s="230"/>
      <c r="F383" s="230"/>
      <c r="G383" s="18"/>
      <c r="H383" s="18"/>
      <c r="I383" s="238"/>
      <c r="J383" s="238"/>
      <c r="K383" s="18"/>
      <c r="L383" s="251"/>
      <c r="M383" s="227"/>
      <c r="N383" s="227"/>
      <c r="O383" s="227"/>
      <c r="P383" s="102"/>
    </row>
    <row r="384" spans="2:16" x14ac:dyDescent="0.25">
      <c r="B384" s="98"/>
      <c r="C384" s="230"/>
      <c r="D384" s="230"/>
      <c r="E384" s="230"/>
      <c r="F384" s="230"/>
      <c r="G384" s="18"/>
      <c r="H384" s="18"/>
      <c r="I384" s="18"/>
      <c r="J384" s="18"/>
      <c r="K384" s="18"/>
      <c r="L384" s="18"/>
      <c r="M384" s="18"/>
      <c r="N384" s="18"/>
      <c r="O384" s="18"/>
      <c r="P384" s="102"/>
    </row>
    <row r="385" spans="2:16" ht="16.5" customHeight="1" x14ac:dyDescent="0.25">
      <c r="B385" s="98"/>
      <c r="C385" s="230"/>
      <c r="D385" s="230"/>
      <c r="E385" s="230"/>
      <c r="F385" s="230"/>
      <c r="G385" s="18"/>
      <c r="H385" s="18"/>
      <c r="I385" s="30" t="s">
        <v>153</v>
      </c>
      <c r="J385" s="18"/>
      <c r="K385" s="18"/>
      <c r="L385" s="47"/>
      <c r="M385" s="18"/>
      <c r="N385" s="55"/>
      <c r="O385" s="18"/>
      <c r="P385" s="102"/>
    </row>
    <row r="386" spans="2:16" ht="16.5" customHeight="1" x14ac:dyDescent="0.25">
      <c r="B386" s="147"/>
      <c r="C386" s="230"/>
      <c r="D386" s="230"/>
      <c r="E386" s="230"/>
      <c r="F386" s="230"/>
      <c r="G386" s="18"/>
      <c r="H386" s="18"/>
      <c r="I386" s="30" t="s">
        <v>154</v>
      </c>
      <c r="J386" s="18"/>
      <c r="K386" s="18"/>
      <c r="L386" s="55"/>
      <c r="M386" s="18"/>
      <c r="N386" s="55"/>
      <c r="O386" s="18"/>
      <c r="P386" s="102"/>
    </row>
    <row r="387" spans="2:16" ht="16.5" customHeight="1" x14ac:dyDescent="0.25">
      <c r="B387" s="147"/>
      <c r="C387" s="18"/>
      <c r="D387" s="18"/>
      <c r="E387" s="18"/>
      <c r="F387" s="18"/>
      <c r="G387" s="18"/>
      <c r="H387" s="18"/>
      <c r="I387" s="30" t="s">
        <v>155</v>
      </c>
      <c r="J387" s="18"/>
      <c r="K387" s="18"/>
      <c r="L387" s="55"/>
      <c r="M387" s="18"/>
      <c r="N387" s="55"/>
      <c r="O387" s="18"/>
      <c r="P387" s="102"/>
    </row>
    <row r="388" spans="2:16" ht="16.5" customHeight="1" x14ac:dyDescent="0.25">
      <c r="B388" s="98"/>
      <c r="C388" s="18"/>
      <c r="D388" s="18"/>
      <c r="E388" s="18"/>
      <c r="F388" s="18"/>
      <c r="G388" s="18"/>
      <c r="H388" s="18"/>
      <c r="I388" s="30" t="s">
        <v>84</v>
      </c>
      <c r="J388" s="18"/>
      <c r="K388" s="18"/>
      <c r="L388" s="55"/>
      <c r="M388" s="18"/>
      <c r="N388" s="55"/>
      <c r="O388" s="18"/>
      <c r="P388" s="102"/>
    </row>
    <row r="389" spans="2:16" ht="16.5" customHeight="1" x14ac:dyDescent="0.25">
      <c r="B389" s="98"/>
      <c r="C389" s="18"/>
      <c r="D389" s="18"/>
      <c r="E389" s="18"/>
      <c r="F389" s="18"/>
      <c r="G389" s="18"/>
      <c r="H389" s="18"/>
      <c r="I389" s="30" t="s">
        <v>85</v>
      </c>
      <c r="J389" s="18"/>
      <c r="K389" s="18"/>
      <c r="L389" s="55"/>
      <c r="M389" s="18"/>
      <c r="N389" s="55"/>
      <c r="O389" s="18"/>
      <c r="P389" s="102"/>
    </row>
    <row r="390" spans="2:16" ht="16.5" customHeight="1" x14ac:dyDescent="0.25">
      <c r="B390" s="9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02"/>
    </row>
    <row r="391" spans="2:16" ht="16.5" customHeight="1" x14ac:dyDescent="0.25">
      <c r="B391" s="98"/>
      <c r="C391" s="18"/>
      <c r="D391" s="18"/>
      <c r="E391" s="18"/>
      <c r="F391" s="18"/>
      <c r="G391" s="18"/>
      <c r="H391" s="18"/>
      <c r="I391" s="72" t="s">
        <v>9</v>
      </c>
      <c r="J391" s="18"/>
      <c r="K391" s="18"/>
      <c r="L391" s="55"/>
      <c r="M391" s="18"/>
      <c r="N391" s="55"/>
      <c r="O391" s="18"/>
      <c r="P391" s="102"/>
    </row>
    <row r="392" spans="2:16" x14ac:dyDescent="0.25">
      <c r="B392" s="9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02"/>
    </row>
    <row r="393" spans="2:16" x14ac:dyDescent="0.25">
      <c r="B393" s="9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02"/>
    </row>
    <row r="394" spans="2:16" x14ac:dyDescent="0.25">
      <c r="B394" s="9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16" t="s">
        <v>315</v>
      </c>
      <c r="P394" s="102"/>
    </row>
    <row r="395" spans="2:16" ht="14.4" thickBot="1" x14ac:dyDescent="0.3">
      <c r="B395" s="139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17" t="s">
        <v>323</v>
      </c>
      <c r="P395" s="142"/>
    </row>
    <row r="397" spans="2:16" ht="14.4" thickBot="1" x14ac:dyDescent="0.3">
      <c r="B397" s="12"/>
    </row>
    <row r="398" spans="2:16" ht="11.25" customHeight="1" x14ac:dyDescent="0.25">
      <c r="B398" s="106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9"/>
      <c r="P398" s="113"/>
    </row>
    <row r="399" spans="2:16" ht="27" customHeight="1" x14ac:dyDescent="0.25">
      <c r="B399" s="107"/>
      <c r="C399" s="75" t="s">
        <v>339</v>
      </c>
      <c r="D399" s="75"/>
      <c r="E399" s="75"/>
      <c r="F399" s="75"/>
      <c r="G399" s="75"/>
      <c r="H399" s="75"/>
      <c r="I399" s="18"/>
      <c r="J399" s="18"/>
      <c r="K399" s="75" t="s">
        <v>383</v>
      </c>
      <c r="L399" s="75"/>
      <c r="M399" s="75"/>
      <c r="N399" s="212" t="s">
        <v>322</v>
      </c>
      <c r="O399" s="212"/>
      <c r="P399" s="114"/>
    </row>
    <row r="400" spans="2:16" ht="11.25" customHeight="1" x14ac:dyDescent="0.25">
      <c r="B400" s="107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1"/>
      <c r="P400" s="112"/>
    </row>
    <row r="401" spans="2:16" x14ac:dyDescent="0.25">
      <c r="B401" s="147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02"/>
    </row>
    <row r="402" spans="2:16" ht="15.6" x14ac:dyDescent="0.25">
      <c r="B402" s="98"/>
      <c r="C402" s="61" t="s">
        <v>88</v>
      </c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02"/>
    </row>
    <row r="403" spans="2:16" x14ac:dyDescent="0.25">
      <c r="B403" s="174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02"/>
    </row>
    <row r="404" spans="2:16" ht="15" customHeight="1" x14ac:dyDescent="0.25">
      <c r="B404" s="147"/>
      <c r="C404" s="230" t="s">
        <v>304</v>
      </c>
      <c r="D404" s="230"/>
      <c r="E404" s="230"/>
      <c r="F404" s="230"/>
      <c r="G404" s="18"/>
      <c r="H404" s="18"/>
      <c r="I404" s="18"/>
      <c r="J404" s="235" t="s">
        <v>12</v>
      </c>
      <c r="K404" s="235"/>
      <c r="L404" s="235"/>
      <c r="M404" s="235"/>
      <c r="N404" s="235"/>
      <c r="O404" s="18"/>
      <c r="P404" s="102"/>
    </row>
    <row r="405" spans="2:16" ht="15" customHeight="1" x14ac:dyDescent="0.25">
      <c r="B405" s="98"/>
      <c r="C405" s="230"/>
      <c r="D405" s="230"/>
      <c r="E405" s="230"/>
      <c r="F405" s="230"/>
      <c r="G405" s="18"/>
      <c r="H405" s="18"/>
      <c r="I405" s="18"/>
      <c r="J405" s="219" t="s">
        <v>89</v>
      </c>
      <c r="K405" s="217" t="s">
        <v>18</v>
      </c>
      <c r="L405" s="217" t="s">
        <v>19</v>
      </c>
      <c r="M405" s="217" t="s">
        <v>9</v>
      </c>
      <c r="N405" s="233" t="s">
        <v>120</v>
      </c>
      <c r="O405" s="18"/>
      <c r="P405" s="102"/>
    </row>
    <row r="406" spans="2:16" x14ac:dyDescent="0.25">
      <c r="B406" s="98"/>
      <c r="C406" s="230"/>
      <c r="D406" s="230"/>
      <c r="E406" s="230"/>
      <c r="F406" s="230"/>
      <c r="G406" s="18"/>
      <c r="H406" s="18"/>
      <c r="I406" s="18"/>
      <c r="J406" s="220"/>
      <c r="K406" s="218"/>
      <c r="L406" s="218"/>
      <c r="M406" s="218"/>
      <c r="N406" s="234"/>
      <c r="O406" s="18"/>
      <c r="P406" s="102"/>
    </row>
    <row r="407" spans="2:16" x14ac:dyDescent="0.25">
      <c r="B407" s="98"/>
      <c r="C407" s="230"/>
      <c r="D407" s="230"/>
      <c r="E407" s="230"/>
      <c r="F407" s="230"/>
      <c r="G407" s="18"/>
      <c r="H407" s="71" t="s">
        <v>157</v>
      </c>
      <c r="I407" s="18"/>
      <c r="J407" s="56">
        <f>IF($E$44="","",VLOOKUP($E$44,Base!$A$3:$GI$3,78,FALSE))</f>
        <v>145</v>
      </c>
      <c r="K407" s="56">
        <f>IF($E$44="","",VLOOKUP($E$44,Base!$A$3:$GI$3,79,FALSE))</f>
        <v>1275</v>
      </c>
      <c r="L407" s="56">
        <f>IF($E$44="","",VLOOKUP($E$44,Base!$A$3:$GI$3,80,FALSE))</f>
        <v>1639</v>
      </c>
      <c r="M407" s="56">
        <f>SUM(K407:L407)</f>
        <v>2914</v>
      </c>
      <c r="N407" s="56" t="str">
        <f>IF($E$44="","",VLOOKUP($E$44,Base!$A$3:$GI$3,81,FALSE))</f>
        <v xml:space="preserve"> </v>
      </c>
      <c r="O407" s="18"/>
      <c r="P407" s="102"/>
    </row>
    <row r="408" spans="2:16" x14ac:dyDescent="0.25">
      <c r="B408" s="147"/>
      <c r="C408" s="18"/>
      <c r="D408" s="18"/>
      <c r="E408" s="18"/>
      <c r="F408" s="18"/>
      <c r="G408" s="18"/>
      <c r="H408" s="71" t="s">
        <v>156</v>
      </c>
      <c r="I408" s="18"/>
      <c r="J408" s="56" t="str">
        <f>IF($E$44="","",VLOOKUP($E$44,Base!$A$3:$GI$3,82,FALSE))</f>
        <v xml:space="preserve"> </v>
      </c>
      <c r="K408" s="56" t="str">
        <f>IF($E$44="","",VLOOKUP($E$44,Base!$A$3:$GI$3,83,FALSE))</f>
        <v xml:space="preserve"> </v>
      </c>
      <c r="L408" s="56" t="str">
        <f>IF($E$44="","",VLOOKUP($E$44,Base!$A$3:$GI$3,84,FALSE))</f>
        <v xml:space="preserve"> </v>
      </c>
      <c r="M408" s="56">
        <f t="shared" ref="M408:M411" si="5">SUM(K408:L408)</f>
        <v>0</v>
      </c>
      <c r="N408" s="56" t="str">
        <f>IF($E$44="","",VLOOKUP($E$44,Base!$A$3:$GI$3,85,FALSE))</f>
        <v xml:space="preserve"> </v>
      </c>
      <c r="O408" s="18"/>
      <c r="P408" s="102"/>
    </row>
    <row r="409" spans="2:16" x14ac:dyDescent="0.25">
      <c r="B409" s="147"/>
      <c r="C409" s="18"/>
      <c r="D409" s="18"/>
      <c r="E409" s="18"/>
      <c r="F409" s="18"/>
      <c r="G409" s="18"/>
      <c r="H409" s="82" t="s">
        <v>159</v>
      </c>
      <c r="I409" s="18"/>
      <c r="J409" s="56">
        <f>IF($E$44="","",VLOOKUP($E$44,Base!$A$3:$GI$3,86,FALSE))</f>
        <v>0</v>
      </c>
      <c r="K409" s="56">
        <f>IF($E$44="","",VLOOKUP($E$44,Base!$A$3:$GI$3,87,FALSE))</f>
        <v>0</v>
      </c>
      <c r="L409" s="56">
        <f>IF($E$44="","",VLOOKUP($E$44,Base!$A$3:$GI$3,88,FALSE))</f>
        <v>0</v>
      </c>
      <c r="M409" s="56">
        <f t="shared" si="5"/>
        <v>0</v>
      </c>
      <c r="N409" s="56" t="str">
        <f>IF($E$44="","",VLOOKUP($E$44,Base!$A$3:$GI$3,89,FALSE))</f>
        <v xml:space="preserve"> </v>
      </c>
      <c r="O409" s="18"/>
      <c r="P409" s="102"/>
    </row>
    <row r="410" spans="2:16" x14ac:dyDescent="0.25">
      <c r="B410" s="147"/>
      <c r="C410" s="18"/>
      <c r="D410" s="18"/>
      <c r="E410" s="18"/>
      <c r="F410" s="18"/>
      <c r="G410" s="18"/>
      <c r="H410" s="82" t="s">
        <v>158</v>
      </c>
      <c r="I410" s="18"/>
      <c r="J410" s="56">
        <f>IF($E$44="","",VLOOKUP($E$44,Base!$A$3:$GI$3,90,FALSE))</f>
        <v>25</v>
      </c>
      <c r="K410" s="56">
        <f>IF($E$44="","",VLOOKUP($E$44,Base!$A$3:$GI$3,91,FALSE))</f>
        <v>220</v>
      </c>
      <c r="L410" s="56">
        <f>IF($E$44="","",VLOOKUP($E$44,Base!$A$3:$GI$3,92,FALSE))</f>
        <v>282</v>
      </c>
      <c r="M410" s="56">
        <f t="shared" si="5"/>
        <v>502</v>
      </c>
      <c r="N410" s="56" t="str">
        <f>IF($E$44="","",VLOOKUP($E$44,Base!$A$3:$GI$3,93,FALSE))</f>
        <v xml:space="preserve"> </v>
      </c>
      <c r="O410" s="18"/>
      <c r="P410" s="102"/>
    </row>
    <row r="411" spans="2:16" ht="16.8" x14ac:dyDescent="0.25">
      <c r="B411" s="153"/>
      <c r="C411" s="18"/>
      <c r="D411" s="18"/>
      <c r="E411" s="18"/>
      <c r="F411" s="18"/>
      <c r="G411" s="18"/>
      <c r="H411" s="71" t="s">
        <v>26</v>
      </c>
      <c r="I411" s="18"/>
      <c r="J411" s="56" t="str">
        <f>IF($E$44="","",VLOOKUP($E$44,Base!$A$3:$GI$3,94,FALSE))</f>
        <v xml:space="preserve"> </v>
      </c>
      <c r="K411" s="56" t="str">
        <f>IF($E$44="","",VLOOKUP($E$44,Base!$A$3:$GI$3,95,FALSE))</f>
        <v xml:space="preserve"> </v>
      </c>
      <c r="L411" s="56" t="str">
        <f>IF($E$44="","",VLOOKUP($E$44,Base!$A$3:$GI$3,96,FALSE))</f>
        <v xml:space="preserve"> </v>
      </c>
      <c r="M411" s="56">
        <f t="shared" si="5"/>
        <v>0</v>
      </c>
      <c r="N411" s="56" t="str">
        <f>IF($E$44="","",VLOOKUP($E$44,Base!$A$3:$GI$3,97,FALSE))</f>
        <v xml:space="preserve"> </v>
      </c>
      <c r="O411" s="18"/>
      <c r="P411" s="102"/>
    </row>
    <row r="412" spans="2:16" x14ac:dyDescent="0.25">
      <c r="B412" s="9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02"/>
    </row>
    <row r="413" spans="2:16" x14ac:dyDescent="0.25">
      <c r="B413" s="98"/>
      <c r="C413" s="18"/>
      <c r="D413" s="18"/>
      <c r="E413" s="18"/>
      <c r="F413" s="18"/>
      <c r="G413" s="18"/>
      <c r="H413" s="63" t="s">
        <v>9</v>
      </c>
      <c r="I413" s="18"/>
      <c r="J413" s="56">
        <f>SUM(J407:J411)</f>
        <v>170</v>
      </c>
      <c r="K413" s="56">
        <f>SUM(K407:K411)</f>
        <v>1495</v>
      </c>
      <c r="L413" s="56">
        <f>SUM(L407:L411)</f>
        <v>1921</v>
      </c>
      <c r="M413" s="56">
        <f>SUM(M407:M411)</f>
        <v>3416</v>
      </c>
      <c r="N413" s="56">
        <f>SUM(N407:N411)</f>
        <v>0</v>
      </c>
      <c r="O413" s="18"/>
      <c r="P413" s="102"/>
    </row>
    <row r="414" spans="2:16" x14ac:dyDescent="0.25">
      <c r="B414" s="147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02"/>
    </row>
    <row r="415" spans="2:16" x14ac:dyDescent="0.25">
      <c r="B415" s="147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02"/>
    </row>
    <row r="416" spans="2:16" ht="15.6" x14ac:dyDescent="0.25">
      <c r="B416" s="98"/>
      <c r="C416" s="61" t="s">
        <v>90</v>
      </c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02"/>
    </row>
    <row r="417" spans="2:16" ht="16.8" x14ac:dyDescent="0.25">
      <c r="B417" s="153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02"/>
    </row>
    <row r="418" spans="2:16" x14ac:dyDescent="0.25">
      <c r="B418" s="98"/>
      <c r="C418" s="230" t="s">
        <v>305</v>
      </c>
      <c r="D418" s="230"/>
      <c r="E418" s="230"/>
      <c r="F418" s="230"/>
      <c r="G418" s="18"/>
      <c r="H418" s="238" t="s">
        <v>51</v>
      </c>
      <c r="I418" s="18"/>
      <c r="J418" s="227" t="s">
        <v>91</v>
      </c>
      <c r="K418" s="227"/>
      <c r="L418" s="18"/>
      <c r="M418" s="18"/>
      <c r="N418" s="18"/>
      <c r="O418" s="18"/>
      <c r="P418" s="102"/>
    </row>
    <row r="419" spans="2:16" x14ac:dyDescent="0.25">
      <c r="B419" s="98"/>
      <c r="C419" s="230"/>
      <c r="D419" s="230"/>
      <c r="E419" s="230"/>
      <c r="F419" s="230"/>
      <c r="G419" s="18"/>
      <c r="H419" s="238"/>
      <c r="I419" s="18"/>
      <c r="J419" s="227"/>
      <c r="K419" s="227"/>
      <c r="L419" s="18"/>
      <c r="M419" s="18"/>
      <c r="N419" s="18"/>
      <c r="O419" s="18"/>
      <c r="P419" s="102"/>
    </row>
    <row r="420" spans="2:16" x14ac:dyDescent="0.25">
      <c r="B420" s="147"/>
      <c r="C420" s="18"/>
      <c r="D420" s="18"/>
      <c r="E420" s="18"/>
      <c r="F420" s="18"/>
      <c r="G420" s="18"/>
      <c r="H420" s="30" t="s">
        <v>160</v>
      </c>
      <c r="I420" s="18"/>
      <c r="J420" s="222" t="str">
        <f>IF($E$44="","",VLOOKUP($E$44,Base!$A$3:$GI$3,98,FALSE))</f>
        <v xml:space="preserve"> </v>
      </c>
      <c r="K420" s="223"/>
      <c r="L420" s="18"/>
      <c r="M420" s="18"/>
      <c r="N420" s="18"/>
      <c r="O420" s="18"/>
      <c r="P420" s="102"/>
    </row>
    <row r="421" spans="2:16" x14ac:dyDescent="0.25">
      <c r="B421" s="147"/>
      <c r="C421" s="18"/>
      <c r="D421" s="18"/>
      <c r="E421" s="18"/>
      <c r="F421" s="18"/>
      <c r="G421" s="18"/>
      <c r="H421" s="30" t="s">
        <v>54</v>
      </c>
      <c r="I421" s="18"/>
      <c r="J421" s="222" t="str">
        <f>IF($E$44="","",VLOOKUP($E$44,Base!$A$3:$GI$3,99,FALSE))</f>
        <v xml:space="preserve"> </v>
      </c>
      <c r="K421" s="223"/>
      <c r="L421" s="18"/>
      <c r="M421" s="18"/>
      <c r="N421" s="18"/>
      <c r="O421" s="18"/>
      <c r="P421" s="102"/>
    </row>
    <row r="422" spans="2:16" x14ac:dyDescent="0.25">
      <c r="B422" s="98"/>
      <c r="C422" s="18"/>
      <c r="D422" s="18"/>
      <c r="E422" s="18"/>
      <c r="F422" s="18"/>
      <c r="G422" s="18"/>
      <c r="H422" s="30" t="s">
        <v>52</v>
      </c>
      <c r="I422" s="18"/>
      <c r="J422" s="222" t="str">
        <f>IF($E$44="","",VLOOKUP($E$44,Base!$A$3:$GI$3,100,FALSE))</f>
        <v xml:space="preserve"> </v>
      </c>
      <c r="K422" s="223"/>
      <c r="L422" s="18"/>
      <c r="M422" s="18"/>
      <c r="N422" s="18"/>
      <c r="O422" s="18"/>
      <c r="P422" s="102"/>
    </row>
    <row r="423" spans="2:16" x14ac:dyDescent="0.25">
      <c r="B423" s="163"/>
      <c r="C423" s="18"/>
      <c r="D423" s="18"/>
      <c r="E423" s="18"/>
      <c r="F423" s="18"/>
      <c r="G423" s="18"/>
      <c r="H423" s="30" t="s">
        <v>161</v>
      </c>
      <c r="I423" s="18"/>
      <c r="J423" s="222" t="str">
        <f>IF($E$44="","",VLOOKUP($E$44,Base!$A$3:$GI$3,101,FALSE))</f>
        <v xml:space="preserve"> </v>
      </c>
      <c r="K423" s="223"/>
      <c r="L423" s="18"/>
      <c r="M423" s="18"/>
      <c r="N423" s="18"/>
      <c r="O423" s="18"/>
      <c r="P423" s="102"/>
    </row>
    <row r="424" spans="2:16" x14ac:dyDescent="0.25">
      <c r="B424" s="147"/>
      <c r="C424" s="18"/>
      <c r="D424" s="18"/>
      <c r="E424" s="18"/>
      <c r="F424" s="18"/>
      <c r="G424" s="18"/>
      <c r="H424" s="30" t="s">
        <v>162</v>
      </c>
      <c r="I424" s="18"/>
      <c r="J424" s="222" t="str">
        <f>IF($E$44="","",VLOOKUP($E$44,Base!$A$3:$GI$3,102,FALSE))</f>
        <v xml:space="preserve"> </v>
      </c>
      <c r="K424" s="223"/>
      <c r="L424" s="18"/>
      <c r="M424" s="18"/>
      <c r="N424" s="18"/>
      <c r="O424" s="18"/>
      <c r="P424" s="102"/>
    </row>
    <row r="425" spans="2:16" x14ac:dyDescent="0.25">
      <c r="B425" s="98"/>
      <c r="C425" s="18"/>
      <c r="D425" s="18"/>
      <c r="E425" s="18"/>
      <c r="F425" s="18"/>
      <c r="G425" s="18"/>
      <c r="H425" s="30" t="s">
        <v>85</v>
      </c>
      <c r="I425" s="18"/>
      <c r="J425" s="222" t="str">
        <f>IF($E$44="","",VLOOKUP($E$44,Base!$A$3:$GI$3,103,FALSE))</f>
        <v xml:space="preserve"> </v>
      </c>
      <c r="K425" s="223"/>
      <c r="L425" s="18"/>
      <c r="M425" s="18"/>
      <c r="N425" s="18"/>
      <c r="O425" s="18"/>
      <c r="P425" s="102"/>
    </row>
    <row r="426" spans="2:16" x14ac:dyDescent="0.25">
      <c r="B426" s="9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02"/>
    </row>
    <row r="427" spans="2:16" x14ac:dyDescent="0.25">
      <c r="B427" s="98"/>
      <c r="C427" s="18"/>
      <c r="D427" s="18"/>
      <c r="E427" s="18"/>
      <c r="F427" s="18"/>
      <c r="G427" s="18"/>
      <c r="H427" s="30" t="s">
        <v>92</v>
      </c>
      <c r="I427" s="18"/>
      <c r="J427" s="83" t="str">
        <f>IF($E$44="","",VLOOKUP($E$44,Base!$A$3:$GI$3,104,FALSE))</f>
        <v xml:space="preserve"> </v>
      </c>
      <c r="K427" s="38"/>
      <c r="L427" s="36"/>
      <c r="M427" s="36"/>
      <c r="N427" s="18"/>
      <c r="O427" s="18"/>
      <c r="P427" s="102"/>
    </row>
    <row r="428" spans="2:16" x14ac:dyDescent="0.25">
      <c r="B428" s="147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02"/>
    </row>
    <row r="429" spans="2:16" x14ac:dyDescent="0.25">
      <c r="B429" s="147"/>
      <c r="C429" s="18"/>
      <c r="D429" s="18"/>
      <c r="E429" s="18"/>
      <c r="F429" s="18"/>
      <c r="G429" s="18"/>
      <c r="H429" s="72" t="s">
        <v>9</v>
      </c>
      <c r="I429" s="18"/>
      <c r="J429" s="222">
        <f>SUM(J420:J425)</f>
        <v>0</v>
      </c>
      <c r="K429" s="223"/>
      <c r="L429" s="18"/>
      <c r="M429" s="18"/>
      <c r="N429" s="18"/>
      <c r="O429" s="18"/>
      <c r="P429" s="102"/>
    </row>
    <row r="430" spans="2:16" x14ac:dyDescent="0.25">
      <c r="B430" s="9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02"/>
    </row>
    <row r="431" spans="2:16" x14ac:dyDescent="0.25">
      <c r="B431" s="9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16" t="s">
        <v>319</v>
      </c>
      <c r="P431" s="102"/>
    </row>
    <row r="432" spans="2:16" ht="14.4" thickBot="1" x14ac:dyDescent="0.3">
      <c r="B432" s="139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17" t="s">
        <v>323</v>
      </c>
      <c r="P432" s="142"/>
    </row>
    <row r="433" spans="2:16" x14ac:dyDescent="0.25">
      <c r="B433" s="84"/>
    </row>
    <row r="434" spans="2:16" ht="14.4" thickBot="1" x14ac:dyDescent="0.3">
      <c r="B434" s="85"/>
    </row>
    <row r="435" spans="2:16" ht="10.5" customHeight="1" x14ac:dyDescent="0.25">
      <c r="B435" s="106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9"/>
      <c r="P435" s="113"/>
    </row>
    <row r="436" spans="2:16" ht="27" customHeight="1" x14ac:dyDescent="0.25">
      <c r="B436" s="107"/>
      <c r="C436" s="75" t="s">
        <v>339</v>
      </c>
      <c r="D436" s="75"/>
      <c r="E436" s="75"/>
      <c r="F436" s="75"/>
      <c r="G436" s="75"/>
      <c r="H436" s="75"/>
      <c r="I436" s="18"/>
      <c r="J436" s="18"/>
      <c r="K436" s="75" t="s">
        <v>383</v>
      </c>
      <c r="L436" s="75"/>
      <c r="M436" s="75"/>
      <c r="N436" s="212" t="s">
        <v>322</v>
      </c>
      <c r="O436" s="212"/>
      <c r="P436" s="114"/>
    </row>
    <row r="437" spans="2:16" ht="9" customHeight="1" x14ac:dyDescent="0.25">
      <c r="B437" s="107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1"/>
      <c r="P437" s="112"/>
    </row>
    <row r="438" spans="2:16" ht="15.6" x14ac:dyDescent="0.25">
      <c r="B438" s="175"/>
      <c r="C438" s="128"/>
      <c r="D438" s="128"/>
      <c r="E438" s="128"/>
      <c r="F438" s="128"/>
      <c r="G438" s="18"/>
      <c r="H438" s="18"/>
      <c r="I438" s="18"/>
      <c r="J438" s="18"/>
      <c r="K438" s="18"/>
      <c r="L438" s="18"/>
      <c r="M438" s="18"/>
      <c r="N438" s="18"/>
      <c r="O438" s="118"/>
      <c r="P438" s="102"/>
    </row>
    <row r="439" spans="2:16" ht="14.25" customHeight="1" x14ac:dyDescent="0.25">
      <c r="B439" s="98"/>
      <c r="C439" s="128" t="s">
        <v>93</v>
      </c>
      <c r="D439" s="128"/>
      <c r="E439" s="128"/>
      <c r="F439" s="128"/>
      <c r="G439" s="18"/>
      <c r="H439" s="18"/>
      <c r="I439" s="18"/>
      <c r="J439" s="18"/>
      <c r="K439" s="18"/>
      <c r="L439" s="18"/>
      <c r="M439" s="18"/>
      <c r="N439" s="18"/>
      <c r="O439" s="54"/>
      <c r="P439" s="102"/>
    </row>
    <row r="440" spans="2:16" ht="7.5" customHeight="1" x14ac:dyDescent="0.25">
      <c r="B440" s="98"/>
      <c r="C440" s="86"/>
      <c r="D440" s="86"/>
      <c r="E440" s="86"/>
      <c r="F440" s="86"/>
      <c r="G440" s="18"/>
      <c r="H440" s="18"/>
      <c r="I440" s="18"/>
      <c r="J440" s="18"/>
      <c r="K440" s="18"/>
      <c r="L440" s="18"/>
      <c r="M440" s="18"/>
      <c r="N440" s="18"/>
      <c r="O440" s="54"/>
      <c r="P440" s="102"/>
    </row>
    <row r="441" spans="2:16" ht="15.6" x14ac:dyDescent="0.25">
      <c r="B441" s="147"/>
      <c r="C441" s="86"/>
      <c r="D441" s="86"/>
      <c r="E441" s="86"/>
      <c r="F441" s="86"/>
      <c r="G441" s="18"/>
      <c r="H441" s="18"/>
      <c r="I441" s="18"/>
      <c r="J441" s="18"/>
      <c r="K441" s="224" t="s">
        <v>12</v>
      </c>
      <c r="L441" s="224"/>
      <c r="M441" s="224"/>
      <c r="N441" s="224"/>
      <c r="O441" s="63"/>
      <c r="P441" s="102"/>
    </row>
    <row r="442" spans="2:16" ht="15.75" customHeight="1" x14ac:dyDescent="0.25">
      <c r="B442" s="98"/>
      <c r="C442" s="230" t="s">
        <v>306</v>
      </c>
      <c r="D442" s="230"/>
      <c r="E442" s="230"/>
      <c r="F442" s="230"/>
      <c r="G442" s="18"/>
      <c r="H442" s="18"/>
      <c r="I442" s="18"/>
      <c r="J442" s="18"/>
      <c r="K442" s="217" t="s">
        <v>18</v>
      </c>
      <c r="L442" s="217" t="s">
        <v>19</v>
      </c>
      <c r="M442" s="217" t="s">
        <v>9</v>
      </c>
      <c r="N442" s="233" t="s">
        <v>120</v>
      </c>
      <c r="O442" s="18"/>
      <c r="P442" s="102"/>
    </row>
    <row r="443" spans="2:16" ht="15" customHeight="1" x14ac:dyDescent="0.25">
      <c r="B443" s="98"/>
      <c r="C443" s="230"/>
      <c r="D443" s="230"/>
      <c r="E443" s="230"/>
      <c r="F443" s="230"/>
      <c r="G443" s="18"/>
      <c r="H443" s="31" t="s">
        <v>94</v>
      </c>
      <c r="I443" s="18"/>
      <c r="J443" s="18"/>
      <c r="K443" s="218"/>
      <c r="L443" s="218"/>
      <c r="M443" s="218"/>
      <c r="N443" s="234"/>
      <c r="O443" s="18"/>
      <c r="P443" s="102"/>
    </row>
    <row r="444" spans="2:16" x14ac:dyDescent="0.25">
      <c r="B444" s="148"/>
      <c r="C444" s="230"/>
      <c r="D444" s="230"/>
      <c r="E444" s="230"/>
      <c r="F444" s="230"/>
      <c r="G444" s="18"/>
      <c r="H444" s="30" t="s">
        <v>164</v>
      </c>
      <c r="I444" s="18"/>
      <c r="J444" s="18"/>
      <c r="K444" s="56">
        <f>IF($E$44="","",VLOOKUP($E$44,Base!$A$3:$GI$3,105,FALSE))</f>
        <v>165</v>
      </c>
      <c r="L444" s="56">
        <f>IF($E$44="","",VLOOKUP($E$44,Base!$A$3:$GI$3,106,FALSE))</f>
        <v>172</v>
      </c>
      <c r="M444" s="56">
        <f>SUM(K444:L444)</f>
        <v>337</v>
      </c>
      <c r="N444" s="56" t="str">
        <f>IF($E$44="","",VLOOKUP($E$44,Base!$A$3:$GI$3,107,FALSE))</f>
        <v xml:space="preserve"> </v>
      </c>
      <c r="O444" s="18"/>
      <c r="P444" s="102"/>
    </row>
    <row r="445" spans="2:16" x14ac:dyDescent="0.25">
      <c r="B445" s="147"/>
      <c r="C445" s="230"/>
      <c r="D445" s="230"/>
      <c r="E445" s="230"/>
      <c r="F445" s="230"/>
      <c r="G445" s="18"/>
      <c r="H445" s="30" t="s">
        <v>163</v>
      </c>
      <c r="I445" s="18"/>
      <c r="J445" s="18"/>
      <c r="K445" s="56">
        <f>IF($E$44="","",VLOOKUP($E$44,Base!$A$3:$GI$3,108,FALSE))</f>
        <v>359</v>
      </c>
      <c r="L445" s="56">
        <f>IF($E$44="","",VLOOKUP($E$44,Base!$A$3:$GI$3,109,FALSE))</f>
        <v>363</v>
      </c>
      <c r="M445" s="56">
        <f t="shared" ref="M445:M447" si="6">SUM(K445:L445)</f>
        <v>722</v>
      </c>
      <c r="N445" s="56">
        <f>IF($E$44="","",VLOOKUP($E$44,Base!$A$3:$GI$3,110,FALSE))</f>
        <v>0</v>
      </c>
      <c r="O445" s="18"/>
      <c r="P445" s="102"/>
    </row>
    <row r="446" spans="2:16" x14ac:dyDescent="0.25">
      <c r="B446" s="147"/>
      <c r="C446" s="119"/>
      <c r="D446" s="119"/>
      <c r="E446" s="119"/>
      <c r="F446" s="119"/>
      <c r="G446" s="18"/>
      <c r="H446" s="30" t="s">
        <v>95</v>
      </c>
      <c r="I446" s="18"/>
      <c r="J446" s="18"/>
      <c r="K446" s="56">
        <f>IF($E$44="","",VLOOKUP($E$44,Base!$A$3:$GI$3,111,FALSE))</f>
        <v>44</v>
      </c>
      <c r="L446" s="56">
        <f>IF($E$44="","",VLOOKUP($E$44,Base!$A$3:$GI$3,112,FALSE))</f>
        <v>50</v>
      </c>
      <c r="M446" s="56">
        <f t="shared" si="6"/>
        <v>94</v>
      </c>
      <c r="N446" s="56" t="str">
        <f>IF($E$44="","",VLOOKUP($E$44,Base!$A$3:$GI$3,113,FALSE))</f>
        <v xml:space="preserve"> </v>
      </c>
      <c r="O446" s="18"/>
      <c r="P446" s="102"/>
    </row>
    <row r="447" spans="2:16" x14ac:dyDescent="0.25">
      <c r="B447" s="98"/>
      <c r="C447" s="119"/>
      <c r="D447" s="119"/>
      <c r="E447" s="119"/>
      <c r="F447" s="119"/>
      <c r="G447" s="18"/>
      <c r="H447" s="30" t="s">
        <v>96</v>
      </c>
      <c r="I447" s="18"/>
      <c r="J447" s="18"/>
      <c r="K447" s="56">
        <f>IF($E$44="","",VLOOKUP($E$44,Base!$A$3:$GI$3,114,FALSE))</f>
        <v>3</v>
      </c>
      <c r="L447" s="56">
        <f>IF($E$44="","",VLOOKUP($E$44,Base!$A$3:$GI$3,115,FALSE))</f>
        <v>3</v>
      </c>
      <c r="M447" s="56">
        <f t="shared" si="6"/>
        <v>6</v>
      </c>
      <c r="N447" s="56" t="str">
        <f>IF($E$44="","",VLOOKUP($E$44,Base!$A$3:$GI$3,116,FALSE))</f>
        <v xml:space="preserve"> </v>
      </c>
      <c r="O447" s="18"/>
      <c r="P447" s="102"/>
    </row>
    <row r="448" spans="2:16" ht="8.25" customHeight="1" x14ac:dyDescent="0.25">
      <c r="B448" s="176"/>
      <c r="C448" s="119"/>
      <c r="D448" s="119"/>
      <c r="E448" s="119"/>
      <c r="F448" s="119"/>
      <c r="G448" s="18"/>
      <c r="H448" s="40"/>
      <c r="I448" s="18"/>
      <c r="J448" s="18"/>
      <c r="K448" s="18"/>
      <c r="L448" s="18"/>
      <c r="M448" s="18"/>
      <c r="N448" s="18"/>
      <c r="O448" s="18"/>
      <c r="P448" s="102"/>
    </row>
    <row r="449" spans="2:16" x14ac:dyDescent="0.25">
      <c r="B449" s="98"/>
      <c r="C449" s="119"/>
      <c r="D449" s="119"/>
      <c r="E449" s="119"/>
      <c r="F449" s="119"/>
      <c r="G449" s="18"/>
      <c r="H449" s="31" t="s">
        <v>9</v>
      </c>
      <c r="I449" s="18"/>
      <c r="J449" s="18"/>
      <c r="K449" s="56">
        <f>SUM(K444:K447)</f>
        <v>571</v>
      </c>
      <c r="L449" s="56">
        <f>SUM(L444:L447)</f>
        <v>588</v>
      </c>
      <c r="M449" s="56">
        <f>SUM(M444:M447)</f>
        <v>1159</v>
      </c>
      <c r="N449" s="56">
        <f>SUM(N444:N447)</f>
        <v>0</v>
      </c>
      <c r="O449" s="18"/>
      <c r="P449" s="102"/>
    </row>
    <row r="450" spans="2:16" ht="9" customHeight="1" x14ac:dyDescent="0.25">
      <c r="B450" s="98"/>
      <c r="C450" s="119"/>
      <c r="D450" s="119"/>
      <c r="E450" s="119"/>
      <c r="F450" s="119"/>
      <c r="G450" s="18"/>
      <c r="H450" s="18"/>
      <c r="I450" s="18"/>
      <c r="J450" s="18"/>
      <c r="K450" s="18"/>
      <c r="L450" s="18"/>
      <c r="M450" s="18"/>
      <c r="N450" s="18"/>
      <c r="O450" s="18"/>
      <c r="P450" s="102"/>
    </row>
    <row r="451" spans="2:16" x14ac:dyDescent="0.25">
      <c r="B451" s="98"/>
      <c r="C451" s="230" t="s">
        <v>307</v>
      </c>
      <c r="D451" s="230"/>
      <c r="E451" s="230"/>
      <c r="F451" s="230"/>
      <c r="G451" s="18"/>
      <c r="H451" s="30" t="s">
        <v>164</v>
      </c>
      <c r="I451" s="18"/>
      <c r="J451" s="18"/>
      <c r="K451" s="56">
        <f>IF($E$44="","",VLOOKUP($E$44,Base!$A$3:$GI$3,117,FALSE))</f>
        <v>0</v>
      </c>
      <c r="L451" s="56">
        <f>IF($E$44="","",VLOOKUP($E$44,Base!$A$3:$GI$3,118,FALSE))</f>
        <v>0</v>
      </c>
      <c r="M451" s="56">
        <f t="shared" ref="M451:M454" si="7">SUM(K451:L451)</f>
        <v>0</v>
      </c>
      <c r="N451" s="56">
        <f>IF($E$44="","",VLOOKUP($E$44,Base!$A$3:$GI$3,119,FALSE))</f>
        <v>0</v>
      </c>
      <c r="O451" s="18"/>
      <c r="P451" s="102"/>
    </row>
    <row r="452" spans="2:16" x14ac:dyDescent="0.25">
      <c r="B452" s="98"/>
      <c r="C452" s="230"/>
      <c r="D452" s="230"/>
      <c r="E452" s="230"/>
      <c r="F452" s="230"/>
      <c r="G452" s="18"/>
      <c r="H452" s="30" t="s">
        <v>163</v>
      </c>
      <c r="I452" s="18"/>
      <c r="J452" s="18"/>
      <c r="K452" s="56">
        <f>IF($E$44="","",VLOOKUP($E$44,Base!$A$3:$GI$3,120,FALSE))</f>
        <v>0</v>
      </c>
      <c r="L452" s="56">
        <f>IF($E$44="","",VLOOKUP($E$44,Base!$A$3:$GI$3,121,FALSE))</f>
        <v>0</v>
      </c>
      <c r="M452" s="56">
        <f t="shared" si="7"/>
        <v>0</v>
      </c>
      <c r="N452" s="56">
        <f>IF($E$44="","",VLOOKUP($E$44,Base!$A$3:$GI$3,122,FALSE))</f>
        <v>0</v>
      </c>
      <c r="O452" s="18"/>
      <c r="P452" s="102"/>
    </row>
    <row r="453" spans="2:16" x14ac:dyDescent="0.25">
      <c r="B453" s="147"/>
      <c r="C453" s="230"/>
      <c r="D453" s="230"/>
      <c r="E453" s="230"/>
      <c r="F453" s="230"/>
      <c r="G453" s="18"/>
      <c r="H453" s="30" t="s">
        <v>95</v>
      </c>
      <c r="I453" s="18"/>
      <c r="J453" s="18"/>
      <c r="K453" s="56">
        <f>IF($E$44="","",VLOOKUP($E$44,Base!$A$3:$GI$3,123,FALSE))</f>
        <v>0</v>
      </c>
      <c r="L453" s="56">
        <f>IF($E$44="","",VLOOKUP($E$44,Base!$A$3:$GI$3,124,FALSE))</f>
        <v>0</v>
      </c>
      <c r="M453" s="56">
        <f t="shared" si="7"/>
        <v>0</v>
      </c>
      <c r="N453" s="56">
        <f>IF($E$44="","",VLOOKUP($E$44,Base!$A$3:$GI$3,125,FALSE))</f>
        <v>0</v>
      </c>
      <c r="O453" s="18"/>
      <c r="P453" s="102"/>
    </row>
    <row r="454" spans="2:16" x14ac:dyDescent="0.25">
      <c r="B454" s="147"/>
      <c r="C454" s="230"/>
      <c r="D454" s="230"/>
      <c r="E454" s="230"/>
      <c r="F454" s="230"/>
      <c r="G454" s="18"/>
      <c r="H454" s="30" t="s">
        <v>96</v>
      </c>
      <c r="I454" s="18"/>
      <c r="J454" s="18"/>
      <c r="K454" s="56">
        <f>IF($E$44="","",VLOOKUP($E$44,Base!$A$3:$GI$3,126,FALSE))</f>
        <v>0</v>
      </c>
      <c r="L454" s="56">
        <f>IF($E$44="","",VLOOKUP($E$44,Base!$A$3:$GI$3,127,FALSE))</f>
        <v>0</v>
      </c>
      <c r="M454" s="56">
        <f t="shared" si="7"/>
        <v>0</v>
      </c>
      <c r="N454" s="56">
        <f>IF($E$44="","",VLOOKUP($E$44,Base!$A$3:$GI$3,128,FALSE))</f>
        <v>0</v>
      </c>
      <c r="O454" s="18"/>
      <c r="P454" s="102"/>
    </row>
    <row r="455" spans="2:16" ht="6.75" customHeight="1" x14ac:dyDescent="0.25">
      <c r="B455" s="147"/>
      <c r="C455" s="119"/>
      <c r="D455" s="119"/>
      <c r="E455" s="119"/>
      <c r="F455" s="119"/>
      <c r="G455" s="18"/>
      <c r="H455" s="18"/>
      <c r="I455" s="18"/>
      <c r="J455" s="18"/>
      <c r="K455" s="18"/>
      <c r="L455" s="18"/>
      <c r="M455" s="18"/>
      <c r="N455" s="18"/>
      <c r="O455" s="18"/>
      <c r="P455" s="102"/>
    </row>
    <row r="456" spans="2:16" x14ac:dyDescent="0.25">
      <c r="B456" s="147"/>
      <c r="C456" s="119"/>
      <c r="D456" s="119"/>
      <c r="E456" s="119"/>
      <c r="F456" s="119"/>
      <c r="G456" s="18"/>
      <c r="H456" s="31" t="s">
        <v>9</v>
      </c>
      <c r="I456" s="18"/>
      <c r="J456" s="18"/>
      <c r="K456" s="56">
        <f>SUM(K451:K454)</f>
        <v>0</v>
      </c>
      <c r="L456" s="56">
        <f>SUM(L451:L454)</f>
        <v>0</v>
      </c>
      <c r="M456" s="56">
        <f>SUM(M451:M454)</f>
        <v>0</v>
      </c>
      <c r="N456" s="56">
        <f>SUM(N451:N454)</f>
        <v>0</v>
      </c>
      <c r="O456" s="18"/>
      <c r="P456" s="102"/>
    </row>
    <row r="457" spans="2:16" ht="8.25" customHeight="1" x14ac:dyDescent="0.25">
      <c r="B457" s="98"/>
      <c r="C457" s="119"/>
      <c r="D457" s="119"/>
      <c r="E457" s="119"/>
      <c r="F457" s="119"/>
      <c r="G457" s="18"/>
      <c r="H457" s="18"/>
      <c r="I457" s="18"/>
      <c r="J457" s="18"/>
      <c r="K457" s="18"/>
      <c r="L457" s="18"/>
      <c r="M457" s="18"/>
      <c r="N457" s="18"/>
      <c r="O457" s="18"/>
      <c r="P457" s="102"/>
    </row>
    <row r="458" spans="2:16" x14ac:dyDescent="0.25">
      <c r="B458" s="98"/>
      <c r="C458" s="119"/>
      <c r="D458" s="119"/>
      <c r="E458" s="119"/>
      <c r="F458" s="119"/>
      <c r="G458" s="18"/>
      <c r="H458" s="18"/>
      <c r="I458" s="18"/>
      <c r="J458" s="18"/>
      <c r="K458" s="224" t="s">
        <v>12</v>
      </c>
      <c r="L458" s="224"/>
      <c r="M458" s="224"/>
      <c r="N458" s="224"/>
      <c r="O458" s="18"/>
      <c r="P458" s="102"/>
    </row>
    <row r="459" spans="2:16" x14ac:dyDescent="0.25">
      <c r="B459" s="98"/>
      <c r="C459" s="221" t="s">
        <v>98</v>
      </c>
      <c r="D459" s="221"/>
      <c r="E459" s="221"/>
      <c r="F459" s="221"/>
      <c r="G459" s="18"/>
      <c r="H459" s="18"/>
      <c r="I459" s="225" t="s">
        <v>99</v>
      </c>
      <c r="J459" s="225"/>
      <c r="K459" s="226" t="s">
        <v>97</v>
      </c>
      <c r="L459" s="18"/>
      <c r="M459" s="227" t="s">
        <v>168</v>
      </c>
      <c r="N459" s="227"/>
      <c r="O459" s="18"/>
      <c r="P459" s="102"/>
    </row>
    <row r="460" spans="2:16" x14ac:dyDescent="0.25">
      <c r="B460" s="98"/>
      <c r="C460" s="221"/>
      <c r="D460" s="221"/>
      <c r="E460" s="221"/>
      <c r="F460" s="221"/>
      <c r="G460" s="18"/>
      <c r="H460" s="18"/>
      <c r="I460" s="225"/>
      <c r="J460" s="225"/>
      <c r="K460" s="226"/>
      <c r="L460" s="18"/>
      <c r="M460" s="227"/>
      <c r="N460" s="227"/>
      <c r="O460" s="18"/>
      <c r="P460" s="102"/>
    </row>
    <row r="461" spans="2:16" x14ac:dyDescent="0.25">
      <c r="B461" s="98"/>
      <c r="C461" s="221"/>
      <c r="D461" s="221"/>
      <c r="E461" s="221"/>
      <c r="F461" s="221"/>
      <c r="G461" s="18"/>
      <c r="H461" s="18"/>
      <c r="I461" s="71" t="s">
        <v>104</v>
      </c>
      <c r="J461" s="18"/>
      <c r="K461" s="56">
        <f>IF($E$44="","",VLOOKUP($E$44,Base!$A$3:$GI$3,129,FALSE))</f>
        <v>0</v>
      </c>
      <c r="L461" s="18"/>
      <c r="M461" s="222">
        <f>IF($E$44="","",VLOOKUP($E$44,Base!$A$3:$GI$3,132,FALSE))</f>
        <v>0</v>
      </c>
      <c r="N461" s="223"/>
      <c r="O461" s="18"/>
      <c r="P461" s="102"/>
    </row>
    <row r="462" spans="2:16" x14ac:dyDescent="0.25">
      <c r="B462" s="98"/>
      <c r="C462" s="129"/>
      <c r="D462" s="119"/>
      <c r="E462" s="119"/>
      <c r="F462" s="119"/>
      <c r="G462" s="18"/>
      <c r="H462" s="18"/>
      <c r="I462" s="71" t="s">
        <v>165</v>
      </c>
      <c r="J462" s="18"/>
      <c r="K462" s="56">
        <f>IF($E$44="","",VLOOKUP($E$44,Base!$A$3:$GI$3,130,FALSE))</f>
        <v>24</v>
      </c>
      <c r="L462" s="18"/>
      <c r="M462" s="222">
        <f>IF($E$44="","",VLOOKUP($E$44,Base!$A$3:$GI$3,133,FALSE))</f>
        <v>0</v>
      </c>
      <c r="N462" s="223"/>
      <c r="O462" s="18"/>
      <c r="P462" s="102"/>
    </row>
    <row r="463" spans="2:16" x14ac:dyDescent="0.25">
      <c r="B463" s="98"/>
      <c r="C463" s="119"/>
      <c r="D463" s="119"/>
      <c r="E463" s="119"/>
      <c r="F463" s="119"/>
      <c r="G463" s="18"/>
      <c r="H463" s="18"/>
      <c r="I463" s="71" t="s">
        <v>166</v>
      </c>
      <c r="J463" s="18"/>
      <c r="K463" s="56">
        <f>IF($E$44="","",VLOOKUP($E$44,Base!$A$3:$GI$3,131,FALSE))</f>
        <v>8</v>
      </c>
      <c r="L463" s="18"/>
      <c r="M463" s="222">
        <f>IF($E$44="","",VLOOKUP($E$44,Base!$A$3:$GI$3,134,FALSE))</f>
        <v>0</v>
      </c>
      <c r="N463" s="223"/>
      <c r="O463" s="18"/>
      <c r="P463" s="102"/>
    </row>
    <row r="464" spans="2:16" ht="6.75" customHeight="1" x14ac:dyDescent="0.25">
      <c r="B464" s="98"/>
      <c r="C464" s="119"/>
      <c r="D464" s="119"/>
      <c r="E464" s="119"/>
      <c r="F464" s="119"/>
      <c r="G464" s="18"/>
      <c r="H464" s="18"/>
      <c r="I464" s="18"/>
      <c r="J464" s="18"/>
      <c r="K464" s="18"/>
      <c r="L464" s="18"/>
      <c r="M464" s="18"/>
      <c r="N464" s="18"/>
      <c r="O464" s="18"/>
      <c r="P464" s="102"/>
    </row>
    <row r="465" spans="2:16" x14ac:dyDescent="0.25">
      <c r="B465" s="150"/>
      <c r="C465" s="119"/>
      <c r="D465" s="119"/>
      <c r="E465" s="119"/>
      <c r="F465" s="119"/>
      <c r="G465" s="18"/>
      <c r="H465" s="18"/>
      <c r="I465" s="63" t="s">
        <v>9</v>
      </c>
      <c r="J465" s="18"/>
      <c r="K465" s="56">
        <f>SUM(K461:K464)</f>
        <v>32</v>
      </c>
      <c r="L465" s="18"/>
      <c r="M465" s="222">
        <f>SUM(M461:M464)</f>
        <v>0</v>
      </c>
      <c r="N465" s="223"/>
      <c r="O465" s="18"/>
      <c r="P465" s="102"/>
    </row>
    <row r="466" spans="2:16" ht="9.75" customHeight="1" x14ac:dyDescent="0.25">
      <c r="B466" s="98"/>
      <c r="C466" s="119"/>
      <c r="D466" s="119"/>
      <c r="E466" s="119"/>
      <c r="F466" s="119"/>
      <c r="G466" s="18"/>
      <c r="H466" s="18"/>
      <c r="I466" s="18"/>
      <c r="J466" s="18"/>
      <c r="K466" s="18"/>
      <c r="L466" s="18"/>
      <c r="M466" s="18"/>
      <c r="N466" s="18"/>
      <c r="O466" s="18"/>
      <c r="P466" s="102"/>
    </row>
    <row r="467" spans="2:16" x14ac:dyDescent="0.25">
      <c r="B467" s="98"/>
      <c r="C467" s="221" t="s">
        <v>101</v>
      </c>
      <c r="D467" s="221"/>
      <c r="E467" s="221"/>
      <c r="F467" s="221"/>
      <c r="G467" s="18"/>
      <c r="H467" s="18"/>
      <c r="I467" s="18"/>
      <c r="J467" s="18"/>
      <c r="K467" s="224" t="s">
        <v>12</v>
      </c>
      <c r="L467" s="224"/>
      <c r="M467" s="224"/>
      <c r="N467" s="224"/>
      <c r="O467" s="18"/>
      <c r="P467" s="102"/>
    </row>
    <row r="468" spans="2:16" x14ac:dyDescent="0.25">
      <c r="B468" s="154"/>
      <c r="C468" s="221"/>
      <c r="D468" s="221"/>
      <c r="E468" s="221"/>
      <c r="F468" s="221"/>
      <c r="G468" s="18"/>
      <c r="H468" s="18"/>
      <c r="I468" s="225" t="s">
        <v>99</v>
      </c>
      <c r="J468" s="225"/>
      <c r="K468" s="226" t="s">
        <v>100</v>
      </c>
      <c r="L468" s="18"/>
      <c r="M468" s="227" t="s">
        <v>167</v>
      </c>
      <c r="N468" s="227"/>
      <c r="O468" s="18"/>
      <c r="P468" s="102"/>
    </row>
    <row r="469" spans="2:16" x14ac:dyDescent="0.25">
      <c r="B469" s="150"/>
      <c r="C469" s="221"/>
      <c r="D469" s="221"/>
      <c r="E469" s="221"/>
      <c r="F469" s="221"/>
      <c r="G469" s="18"/>
      <c r="H469" s="18"/>
      <c r="I469" s="225"/>
      <c r="J469" s="225"/>
      <c r="K469" s="226"/>
      <c r="L469" s="18"/>
      <c r="M469" s="227"/>
      <c r="N469" s="227"/>
      <c r="O469" s="18"/>
      <c r="P469" s="102"/>
    </row>
    <row r="470" spans="2:16" x14ac:dyDescent="0.25">
      <c r="B470" s="177"/>
      <c r="C470" s="221"/>
      <c r="D470" s="221"/>
      <c r="E470" s="221"/>
      <c r="F470" s="221"/>
      <c r="G470" s="18"/>
      <c r="H470" s="18"/>
      <c r="I470" s="71" t="s">
        <v>104</v>
      </c>
      <c r="J470" s="18"/>
      <c r="K470" s="56">
        <f>IF($E$44="","",VLOOKUP($E$44,Base!$A$3:$GI$3,135,FALSE))</f>
        <v>0</v>
      </c>
      <c r="L470" s="18"/>
      <c r="M470" s="222">
        <f>IF($E$44="","",VLOOKUP($E$44,Base!$A$3:$GI$3,138,FALSE))</f>
        <v>0</v>
      </c>
      <c r="N470" s="223"/>
      <c r="O470" s="18"/>
      <c r="P470" s="102"/>
    </row>
    <row r="471" spans="2:16" x14ac:dyDescent="0.25">
      <c r="B471" s="154"/>
      <c r="C471" s="119"/>
      <c r="D471" s="119"/>
      <c r="E471" s="119"/>
      <c r="F471" s="119"/>
      <c r="G471" s="18"/>
      <c r="H471" s="18"/>
      <c r="I471" s="71" t="s">
        <v>165</v>
      </c>
      <c r="J471" s="18"/>
      <c r="K471" s="56">
        <f>IF($E$44="","",VLOOKUP($E$44,Base!$A$3:$GI$3,136,FALSE))</f>
        <v>0</v>
      </c>
      <c r="L471" s="18"/>
      <c r="M471" s="222">
        <f>IF($E$44="","",VLOOKUP($E$44,Base!$A$3:$GI$3,139,FALSE))</f>
        <v>0</v>
      </c>
      <c r="N471" s="223"/>
      <c r="O471" s="18"/>
      <c r="P471" s="102"/>
    </row>
    <row r="472" spans="2:16" x14ac:dyDescent="0.25">
      <c r="B472" s="98"/>
      <c r="C472" s="18"/>
      <c r="D472" s="18"/>
      <c r="E472" s="18"/>
      <c r="F472" s="18"/>
      <c r="G472" s="18"/>
      <c r="H472" s="18"/>
      <c r="I472" s="71" t="s">
        <v>166</v>
      </c>
      <c r="J472" s="18"/>
      <c r="K472" s="56">
        <f>IF($E$44="","",VLOOKUP($E$44,Base!$A$3:$GI$3,137,FALSE))</f>
        <v>0</v>
      </c>
      <c r="L472" s="18"/>
      <c r="M472" s="222">
        <f>IF($E$44="","",VLOOKUP($E$44,Base!$A$3:$GI$3,140,FALSE))</f>
        <v>0</v>
      </c>
      <c r="N472" s="223"/>
      <c r="O472" s="18"/>
      <c r="P472" s="102"/>
    </row>
    <row r="473" spans="2:16" ht="6" customHeight="1" x14ac:dyDescent="0.25">
      <c r="B473" s="154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02"/>
    </row>
    <row r="474" spans="2:16" x14ac:dyDescent="0.25">
      <c r="B474" s="98"/>
      <c r="C474" s="18"/>
      <c r="D474" s="18"/>
      <c r="E474" s="18"/>
      <c r="F474" s="18"/>
      <c r="G474" s="18"/>
      <c r="H474" s="18"/>
      <c r="I474" s="63" t="s">
        <v>9</v>
      </c>
      <c r="J474" s="18"/>
      <c r="K474" s="56">
        <f>SUM(K470:K473)</f>
        <v>0</v>
      </c>
      <c r="L474" s="18"/>
      <c r="M474" s="222">
        <f>SUM(M470:M473)</f>
        <v>0</v>
      </c>
      <c r="N474" s="223"/>
      <c r="O474" s="18"/>
      <c r="P474" s="102"/>
    </row>
    <row r="475" spans="2:16" x14ac:dyDescent="0.25">
      <c r="B475" s="98"/>
      <c r="C475" s="18"/>
      <c r="D475" s="18"/>
      <c r="E475" s="18"/>
      <c r="F475" s="18"/>
      <c r="G475" s="18"/>
      <c r="H475" s="18"/>
      <c r="I475" s="63"/>
      <c r="J475" s="18"/>
      <c r="K475" s="130"/>
      <c r="L475" s="18"/>
      <c r="M475" s="130"/>
      <c r="N475" s="130"/>
      <c r="O475" s="116" t="s">
        <v>320</v>
      </c>
      <c r="P475" s="102"/>
    </row>
    <row r="476" spans="2:16" ht="16.2" thickBot="1" x14ac:dyDescent="0.3">
      <c r="B476" s="178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17" t="s">
        <v>323</v>
      </c>
      <c r="P476" s="142"/>
    </row>
    <row r="477" spans="2:16" x14ac:dyDescent="0.25">
      <c r="B477" s="87"/>
    </row>
    <row r="478" spans="2:16" ht="14.4" thickBot="1" x14ac:dyDescent="0.3">
      <c r="B478" s="87"/>
    </row>
    <row r="479" spans="2:16" ht="10.5" customHeight="1" x14ac:dyDescent="0.25">
      <c r="B479" s="106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9"/>
      <c r="P479" s="113"/>
    </row>
    <row r="480" spans="2:16" ht="26.25" customHeight="1" x14ac:dyDescent="0.25">
      <c r="B480" s="107"/>
      <c r="C480" s="75" t="s">
        <v>339</v>
      </c>
      <c r="D480" s="75"/>
      <c r="E480" s="75"/>
      <c r="F480" s="75"/>
      <c r="G480" s="75"/>
      <c r="H480" s="75"/>
      <c r="I480" s="18"/>
      <c r="J480" s="18"/>
      <c r="K480" s="75" t="s">
        <v>383</v>
      </c>
      <c r="L480" s="75"/>
      <c r="M480" s="75"/>
      <c r="N480" s="212" t="s">
        <v>322</v>
      </c>
      <c r="O480" s="212"/>
      <c r="P480" s="114"/>
    </row>
    <row r="481" spans="2:16" ht="9.75" customHeight="1" x14ac:dyDescent="0.25">
      <c r="B481" s="107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1"/>
      <c r="P481" s="112"/>
    </row>
    <row r="482" spans="2:16" x14ac:dyDescent="0.25">
      <c r="B482" s="147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54"/>
      <c r="P482" s="102"/>
    </row>
    <row r="483" spans="2:16" ht="15.6" x14ac:dyDescent="0.25">
      <c r="B483" s="98"/>
      <c r="C483" s="61" t="s">
        <v>102</v>
      </c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02"/>
    </row>
    <row r="484" spans="2:16" x14ac:dyDescent="0.25">
      <c r="B484" s="146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02"/>
    </row>
    <row r="485" spans="2:16" x14ac:dyDescent="0.25">
      <c r="B485" s="98"/>
      <c r="C485" s="230" t="s">
        <v>308</v>
      </c>
      <c r="D485" s="230"/>
      <c r="E485" s="230"/>
      <c r="F485" s="230"/>
      <c r="G485" s="18"/>
      <c r="H485" s="18"/>
      <c r="I485" s="18"/>
      <c r="J485" s="18"/>
      <c r="K485" s="18"/>
      <c r="L485" s="18"/>
      <c r="M485" s="18"/>
      <c r="N485" s="18"/>
      <c r="O485" s="18"/>
      <c r="P485" s="102"/>
    </row>
    <row r="486" spans="2:16" x14ac:dyDescent="0.25">
      <c r="B486" s="98"/>
      <c r="C486" s="230"/>
      <c r="D486" s="230"/>
      <c r="E486" s="230"/>
      <c r="F486" s="230"/>
      <c r="G486" s="18"/>
      <c r="H486" s="18"/>
      <c r="I486" s="31"/>
      <c r="J486" s="31"/>
      <c r="K486" s="31"/>
      <c r="L486" s="31"/>
      <c r="M486" s="31"/>
      <c r="N486" s="31"/>
      <c r="O486" s="31"/>
      <c r="P486" s="102"/>
    </row>
    <row r="487" spans="2:16" ht="21.75" customHeight="1" x14ac:dyDescent="0.25">
      <c r="B487" s="147"/>
      <c r="C487" s="18"/>
      <c r="D487" s="18"/>
      <c r="E487" s="18"/>
      <c r="F487" s="18"/>
      <c r="G487" s="18"/>
      <c r="H487" s="18"/>
      <c r="I487" s="236" t="s">
        <v>103</v>
      </c>
      <c r="J487" s="236"/>
      <c r="K487" s="236"/>
      <c r="L487" s="236"/>
      <c r="M487" s="236"/>
      <c r="N487" s="236"/>
      <c r="O487" s="236"/>
      <c r="P487" s="102"/>
    </row>
    <row r="488" spans="2:16" ht="21.75" customHeight="1" x14ac:dyDescent="0.25">
      <c r="B488" s="147"/>
      <c r="C488" s="18"/>
      <c r="D488" s="18"/>
      <c r="E488" s="18"/>
      <c r="F488" s="18"/>
      <c r="G488" s="18"/>
      <c r="H488" s="18"/>
      <c r="I488" s="237" t="s">
        <v>174</v>
      </c>
      <c r="J488" s="237" t="s">
        <v>175</v>
      </c>
      <c r="K488" s="237" t="s">
        <v>176</v>
      </c>
      <c r="L488" s="237" t="s">
        <v>177</v>
      </c>
      <c r="M488" s="237" t="s">
        <v>178</v>
      </c>
      <c r="N488" s="237" t="s">
        <v>105</v>
      </c>
      <c r="O488" s="237" t="s">
        <v>9</v>
      </c>
      <c r="P488" s="102"/>
    </row>
    <row r="489" spans="2:16" ht="21.75" customHeight="1" x14ac:dyDescent="0.25">
      <c r="B489" s="147"/>
      <c r="C489" s="18"/>
      <c r="D489" s="18"/>
      <c r="E489" s="18"/>
      <c r="F489" s="18"/>
      <c r="G489" s="18"/>
      <c r="H489" s="18"/>
      <c r="I489" s="237"/>
      <c r="J489" s="237"/>
      <c r="K489" s="237"/>
      <c r="L489" s="237"/>
      <c r="M489" s="237"/>
      <c r="N489" s="237"/>
      <c r="O489" s="237"/>
      <c r="P489" s="102"/>
    </row>
    <row r="490" spans="2:16" ht="21.75" customHeight="1" x14ac:dyDescent="0.25">
      <c r="B490" s="153"/>
      <c r="C490" s="18"/>
      <c r="D490" s="18"/>
      <c r="E490" s="18"/>
      <c r="F490" s="30" t="s">
        <v>169</v>
      </c>
      <c r="G490" s="18"/>
      <c r="H490" s="18"/>
      <c r="I490" s="56">
        <f>IF($E$44="","",VLOOKUP($E$44,Base!$A$3:$GI$3,141,FALSE))</f>
        <v>3</v>
      </c>
      <c r="J490" s="56">
        <f>IF($E$44="","",VLOOKUP($E$44,Base!$A$3:$GI$3,142,FALSE))</f>
        <v>2</v>
      </c>
      <c r="K490" s="56">
        <f>IF($E$44="","",VLOOKUP($E$44,Base!$A$3:$GI$3,143,FALSE))</f>
        <v>16</v>
      </c>
      <c r="L490" s="56">
        <f>IF($E$44="","",VLOOKUP($E$44,Base!$A$3:$GI$3,144,FALSE))</f>
        <v>2</v>
      </c>
      <c r="M490" s="56">
        <f>IF($E$44="","",VLOOKUP($E$44,Base!$A$3:$GI$3,145,FALSE))</f>
        <v>16</v>
      </c>
      <c r="N490" s="56">
        <f>IF($E$44="","",VLOOKUP($E$44,Base!$A$3:$GI$3,146,FALSE))</f>
        <v>2</v>
      </c>
      <c r="O490" s="56">
        <f>SUM(I490:N490)</f>
        <v>41</v>
      </c>
      <c r="P490" s="102"/>
    </row>
    <row r="491" spans="2:16" ht="21.75" customHeight="1" x14ac:dyDescent="0.25">
      <c r="B491" s="98"/>
      <c r="C491" s="18"/>
      <c r="D491" s="18"/>
      <c r="E491" s="18"/>
      <c r="F491" s="30" t="s">
        <v>170</v>
      </c>
      <c r="G491" s="18"/>
      <c r="H491" s="18"/>
      <c r="I491" s="56">
        <f>IF($E$44="","",VLOOKUP($E$44,Base!$A$3:$GI$3,147,FALSE))</f>
        <v>1</v>
      </c>
      <c r="J491" s="56">
        <f>IF($E$44="","",VLOOKUP($E$44,Base!$A$3:$GI$3,148,FALSE))</f>
        <v>1</v>
      </c>
      <c r="K491" s="56">
        <f>IF($E$44="","",VLOOKUP($E$44,Base!$A$3:$GI$3,149,FALSE))</f>
        <v>1</v>
      </c>
      <c r="L491" s="56">
        <f>IF($E$44="","",VLOOKUP($E$44,Base!$A$3:$GI$3,150,FALSE))</f>
        <v>0</v>
      </c>
      <c r="M491" s="56">
        <f>IF($E$44="","",VLOOKUP($E$44,Base!$A$3:$GI$3,151,FALSE))</f>
        <v>1</v>
      </c>
      <c r="N491" s="56">
        <f>IF($E$44="","",VLOOKUP($E$44,Base!$A$3:$GI$3,152,FALSE))</f>
        <v>0</v>
      </c>
      <c r="O491" s="56">
        <f t="shared" ref="O491:O494" si="8">SUM(I491:N491)</f>
        <v>4</v>
      </c>
      <c r="P491" s="102"/>
    </row>
    <row r="492" spans="2:16" ht="21.75" customHeight="1" x14ac:dyDescent="0.25">
      <c r="B492" s="98"/>
      <c r="C492" s="18"/>
      <c r="D492" s="18"/>
      <c r="E492" s="18"/>
      <c r="F492" s="30" t="s">
        <v>171</v>
      </c>
      <c r="G492" s="18"/>
      <c r="H492" s="18"/>
      <c r="I492" s="56">
        <f>IF($E$44="","",VLOOKUP($E$44,Base!$A$3:$GI$3,153,FALSE))</f>
        <v>1</v>
      </c>
      <c r="J492" s="56">
        <f>IF($E$44="","",VLOOKUP($E$44,Base!$A$3:$GI$3,154,FALSE))</f>
        <v>1</v>
      </c>
      <c r="K492" s="56">
        <f>IF($E$44="","",VLOOKUP($E$44,Base!$A$3:$GI$3,155,FALSE))</f>
        <v>1</v>
      </c>
      <c r="L492" s="56">
        <f>IF($E$44="","",VLOOKUP($E$44,Base!$A$3:$GI$3,156,FALSE))</f>
        <v>0</v>
      </c>
      <c r="M492" s="56">
        <f>IF($E$44="","",VLOOKUP($E$44,Base!$A$3:$GI$3,157,FALSE))</f>
        <v>2</v>
      </c>
      <c r="N492" s="56">
        <f>IF($E$44="","",VLOOKUP($E$44,Base!$A$3:$GI$3,158,FALSE))</f>
        <v>0</v>
      </c>
      <c r="O492" s="56">
        <f>SUM(I492:N492)</f>
        <v>5</v>
      </c>
      <c r="P492" s="102"/>
    </row>
    <row r="493" spans="2:16" ht="21.75" customHeight="1" x14ac:dyDescent="0.25">
      <c r="B493" s="176"/>
      <c r="C493" s="18"/>
      <c r="D493" s="18"/>
      <c r="E493" s="18"/>
      <c r="F493" s="30" t="s">
        <v>172</v>
      </c>
      <c r="G493" s="18"/>
      <c r="H493" s="18"/>
      <c r="I493" s="56">
        <f>IF($E$44="","",VLOOKUP($E$44,Base!$A$3:$GI$3,159,FALSE))</f>
        <v>1</v>
      </c>
      <c r="J493" s="56">
        <f>IF($E$44="","",VLOOKUP($E$44,Base!$A$3:$GI$3,160,FALSE))</f>
        <v>0</v>
      </c>
      <c r="K493" s="56">
        <f>IF($E$44="","",VLOOKUP($E$44,Base!$A$3:$GI$3,161,FALSE))</f>
        <v>0</v>
      </c>
      <c r="L493" s="56">
        <f>IF($E$44="","",VLOOKUP($E$44,Base!$A$3:$GI$3,162,FALSE))</f>
        <v>0</v>
      </c>
      <c r="M493" s="56">
        <f>IF($E$44="","",VLOOKUP($E$44,Base!$A$3:$GI$3,163,FALSE))</f>
        <v>0</v>
      </c>
      <c r="N493" s="56">
        <f>IF($E$44="","",VLOOKUP($E$44,Base!$A$3:$GI$3,164,FALSE))</f>
        <v>0</v>
      </c>
      <c r="O493" s="56">
        <f t="shared" si="8"/>
        <v>1</v>
      </c>
      <c r="P493" s="102"/>
    </row>
    <row r="494" spans="2:16" ht="21.75" customHeight="1" x14ac:dyDescent="0.25">
      <c r="B494" s="152"/>
      <c r="C494" s="18"/>
      <c r="D494" s="18"/>
      <c r="E494" s="18"/>
      <c r="F494" s="30" t="s">
        <v>173</v>
      </c>
      <c r="G494" s="18"/>
      <c r="H494" s="18"/>
      <c r="I494" s="56">
        <f>IF($E$44="","",VLOOKUP($E$44,Base!$A$3:$GI$3,165,FALSE))</f>
        <v>0</v>
      </c>
      <c r="J494" s="56">
        <f>IF($E$44="","",VLOOKUP($E$44,Base!$A$3:$GI$3,166,FALSE))</f>
        <v>0</v>
      </c>
      <c r="K494" s="56">
        <f>IF($E$44="","",VLOOKUP($E$44,Base!$A$3:$GI$3,167,FALSE))</f>
        <v>0</v>
      </c>
      <c r="L494" s="56">
        <f>IF($E$44="","",VLOOKUP($E$44,Base!$A$3:$GI$3,168,FALSE))</f>
        <v>0</v>
      </c>
      <c r="M494" s="56">
        <f>IF($E$44="","",VLOOKUP($E$44,Base!$A$3:$GI$3,169,FALSE))</f>
        <v>0</v>
      </c>
      <c r="N494" s="56">
        <f>IF($E$44="","",VLOOKUP($E$44,Base!$A$3:$GI$3,170,FALSE))</f>
        <v>0</v>
      </c>
      <c r="O494" s="56">
        <f t="shared" si="8"/>
        <v>0</v>
      </c>
      <c r="P494" s="102"/>
    </row>
    <row r="495" spans="2:16" ht="21.75" customHeight="1" x14ac:dyDescent="0.25">
      <c r="B495" s="9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02"/>
    </row>
    <row r="496" spans="2:16" ht="21.75" customHeight="1" x14ac:dyDescent="0.25">
      <c r="B496" s="98"/>
      <c r="C496" s="18"/>
      <c r="D496" s="18"/>
      <c r="E496" s="18"/>
      <c r="F496" s="31" t="s">
        <v>9</v>
      </c>
      <c r="G496" s="18"/>
      <c r="H496" s="18"/>
      <c r="I496" s="56">
        <f t="shared" ref="I496:O496" si="9">SUM(I490:I495)</f>
        <v>6</v>
      </c>
      <c r="J496" s="56">
        <f t="shared" si="9"/>
        <v>4</v>
      </c>
      <c r="K496" s="56">
        <f t="shared" si="9"/>
        <v>18</v>
      </c>
      <c r="L496" s="56">
        <f t="shared" si="9"/>
        <v>2</v>
      </c>
      <c r="M496" s="56">
        <f t="shared" si="9"/>
        <v>19</v>
      </c>
      <c r="N496" s="56">
        <f t="shared" si="9"/>
        <v>2</v>
      </c>
      <c r="O496" s="56">
        <f t="shared" si="9"/>
        <v>51</v>
      </c>
      <c r="P496" s="102"/>
    </row>
    <row r="497" spans="2:16" x14ac:dyDescent="0.25">
      <c r="B497" s="9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02"/>
    </row>
    <row r="498" spans="2:16" x14ac:dyDescent="0.25">
      <c r="B498" s="9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02"/>
    </row>
    <row r="499" spans="2:16" x14ac:dyDescent="0.25">
      <c r="B499" s="9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02"/>
    </row>
    <row r="500" spans="2:16" x14ac:dyDescent="0.25">
      <c r="B500" s="179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02"/>
    </row>
    <row r="501" spans="2:16" x14ac:dyDescent="0.25">
      <c r="B501" s="179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02"/>
    </row>
    <row r="502" spans="2:16" x14ac:dyDescent="0.25">
      <c r="B502" s="179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02"/>
    </row>
    <row r="503" spans="2:16" x14ac:dyDescent="0.25">
      <c r="B503" s="179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02"/>
    </row>
    <row r="504" spans="2:16" x14ac:dyDescent="0.25">
      <c r="B504" s="180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02"/>
    </row>
    <row r="505" spans="2:16" x14ac:dyDescent="0.25">
      <c r="B505" s="9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02"/>
    </row>
    <row r="506" spans="2:16" x14ac:dyDescent="0.25">
      <c r="B506" s="179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02"/>
    </row>
    <row r="507" spans="2:16" x14ac:dyDescent="0.25">
      <c r="B507" s="180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02"/>
    </row>
    <row r="508" spans="2:16" x14ac:dyDescent="0.25">
      <c r="B508" s="9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16" t="s">
        <v>324</v>
      </c>
      <c r="P508" s="102"/>
    </row>
    <row r="509" spans="2:16" ht="14.4" thickBot="1" x14ac:dyDescent="0.3">
      <c r="B509" s="18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17" t="s">
        <v>323</v>
      </c>
      <c r="P509" s="142"/>
    </row>
    <row r="510" spans="2:16" x14ac:dyDescent="0.25">
      <c r="B510" s="88"/>
    </row>
    <row r="511" spans="2:16" ht="14.4" thickBot="1" x14ac:dyDescent="0.3">
      <c r="B511" s="88"/>
    </row>
    <row r="512" spans="2:16" ht="9.75" customHeight="1" x14ac:dyDescent="0.25">
      <c r="B512" s="106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9"/>
      <c r="P512" s="113"/>
    </row>
    <row r="513" spans="2:16" ht="27" customHeight="1" x14ac:dyDescent="0.25">
      <c r="B513" s="107"/>
      <c r="C513" s="75" t="s">
        <v>339</v>
      </c>
      <c r="D513" s="75"/>
      <c r="E513" s="75"/>
      <c r="F513" s="75"/>
      <c r="G513" s="75"/>
      <c r="H513" s="75"/>
      <c r="I513" s="18"/>
      <c r="J513" s="18"/>
      <c r="K513" s="75" t="s">
        <v>383</v>
      </c>
      <c r="L513" s="75"/>
      <c r="M513" s="75"/>
      <c r="N513" s="212" t="s">
        <v>322</v>
      </c>
      <c r="O513" s="212"/>
      <c r="P513" s="114"/>
    </row>
    <row r="514" spans="2:16" ht="9" customHeight="1" x14ac:dyDescent="0.25">
      <c r="B514" s="107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1"/>
      <c r="P514" s="112"/>
    </row>
    <row r="515" spans="2:16" ht="15.6" x14ac:dyDescent="0.25">
      <c r="B515" s="98"/>
      <c r="C515" s="61" t="s">
        <v>106</v>
      </c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54"/>
      <c r="P515" s="102"/>
    </row>
    <row r="516" spans="2:16" ht="15.6" x14ac:dyDescent="0.25">
      <c r="B516" s="98"/>
      <c r="C516" s="61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54"/>
      <c r="P516" s="102"/>
    </row>
    <row r="517" spans="2:16" x14ac:dyDescent="0.25">
      <c r="B517" s="147"/>
      <c r="C517" s="230" t="s">
        <v>309</v>
      </c>
      <c r="D517" s="230"/>
      <c r="E517" s="230"/>
      <c r="F517" s="230"/>
      <c r="G517" s="18"/>
      <c r="H517" s="18"/>
      <c r="I517" s="18"/>
      <c r="J517" s="18"/>
      <c r="K517" s="236" t="s">
        <v>61</v>
      </c>
      <c r="L517" s="236"/>
      <c r="M517" s="236"/>
      <c r="N517" s="236"/>
      <c r="O517" s="18"/>
      <c r="P517" s="102"/>
    </row>
    <row r="518" spans="2:16" x14ac:dyDescent="0.25">
      <c r="B518" s="147"/>
      <c r="C518" s="230"/>
      <c r="D518" s="230"/>
      <c r="E518" s="230"/>
      <c r="F518" s="230"/>
      <c r="G518" s="18"/>
      <c r="H518" s="18"/>
      <c r="I518" s="18"/>
      <c r="J518" s="18"/>
      <c r="K518" s="217" t="s">
        <v>18</v>
      </c>
      <c r="L518" s="217" t="s">
        <v>19</v>
      </c>
      <c r="M518" s="217" t="s">
        <v>9</v>
      </c>
      <c r="N518" s="233" t="s">
        <v>120</v>
      </c>
      <c r="O518" s="18"/>
      <c r="P518" s="102"/>
    </row>
    <row r="519" spans="2:16" x14ac:dyDescent="0.25">
      <c r="B519" s="98"/>
      <c r="C519" s="230"/>
      <c r="D519" s="230"/>
      <c r="E519" s="230"/>
      <c r="F519" s="230"/>
      <c r="G519" s="18"/>
      <c r="H519" s="18"/>
      <c r="I519" s="18"/>
      <c r="J519" s="18"/>
      <c r="K519" s="218"/>
      <c r="L519" s="218"/>
      <c r="M519" s="218"/>
      <c r="N519" s="234"/>
      <c r="O519" s="18"/>
      <c r="P519" s="102"/>
    </row>
    <row r="520" spans="2:16" x14ac:dyDescent="0.25">
      <c r="B520" s="98"/>
      <c r="C520" s="119"/>
      <c r="D520" s="119"/>
      <c r="E520" s="119"/>
      <c r="F520" s="119"/>
      <c r="G520" s="18"/>
      <c r="H520" s="18"/>
      <c r="I520" s="18"/>
      <c r="J520" s="18"/>
      <c r="K520" s="60">
        <f>+K527</f>
        <v>17</v>
      </c>
      <c r="L520" s="60">
        <f>+L527</f>
        <v>24</v>
      </c>
      <c r="M520" s="60">
        <f>+M527</f>
        <v>41</v>
      </c>
      <c r="N520" s="60">
        <f>+N527</f>
        <v>0</v>
      </c>
      <c r="O520" s="18"/>
      <c r="P520" s="102"/>
    </row>
    <row r="521" spans="2:16" x14ac:dyDescent="0.25">
      <c r="B521" s="98"/>
      <c r="C521" s="119"/>
      <c r="D521" s="119"/>
      <c r="E521" s="119"/>
      <c r="F521" s="119"/>
      <c r="G521" s="18"/>
      <c r="H521" s="18"/>
      <c r="I521" s="18"/>
      <c r="J521" s="18"/>
      <c r="K521" s="18"/>
      <c r="L521" s="18"/>
      <c r="M521" s="18"/>
      <c r="N521" s="18"/>
      <c r="O521" s="18"/>
      <c r="P521" s="102"/>
    </row>
    <row r="522" spans="2:16" x14ac:dyDescent="0.25">
      <c r="B522" s="174"/>
      <c r="C522" s="230" t="s">
        <v>310</v>
      </c>
      <c r="D522" s="230"/>
      <c r="E522" s="230"/>
      <c r="F522" s="230"/>
      <c r="G522" s="18"/>
      <c r="H522" s="18"/>
      <c r="I522" s="31" t="s">
        <v>135</v>
      </c>
      <c r="J522" s="18"/>
      <c r="K522" s="18"/>
      <c r="L522" s="18"/>
      <c r="M522" s="18"/>
      <c r="N522" s="18"/>
      <c r="O522" s="18"/>
      <c r="P522" s="102"/>
    </row>
    <row r="523" spans="2:16" x14ac:dyDescent="0.25">
      <c r="B523" s="147"/>
      <c r="C523" s="230"/>
      <c r="D523" s="230"/>
      <c r="E523" s="230"/>
      <c r="F523" s="230"/>
      <c r="G523" s="18"/>
      <c r="H523" s="18"/>
      <c r="I523" s="30" t="s">
        <v>62</v>
      </c>
      <c r="J523" s="18"/>
      <c r="K523" s="56">
        <f>IF($E$44="","",VLOOKUP($E$44,Base!$A$3:$GI$3,171,FALSE))</f>
        <v>4</v>
      </c>
      <c r="L523" s="56">
        <f>IF($E$44="","",VLOOKUP($E$44,Base!$A$3:$GI$3,172,FALSE))</f>
        <v>4</v>
      </c>
      <c r="M523" s="56">
        <f>SUM(K523:L523)</f>
        <v>8</v>
      </c>
      <c r="N523" s="56" t="str">
        <f>IF($E$44="","",VLOOKUP($E$44,Base!$A$3:$GI$3,173,FALSE))</f>
        <v xml:space="preserve"> </v>
      </c>
      <c r="O523" s="18"/>
      <c r="P523" s="102"/>
    </row>
    <row r="524" spans="2:16" x14ac:dyDescent="0.25">
      <c r="B524" s="147"/>
      <c r="C524" s="230"/>
      <c r="D524" s="230"/>
      <c r="E524" s="230"/>
      <c r="F524" s="230"/>
      <c r="G524" s="18"/>
      <c r="H524" s="18"/>
      <c r="I524" s="30" t="s">
        <v>63</v>
      </c>
      <c r="J524" s="18"/>
      <c r="K524" s="56" t="str">
        <f>IF($E$44="","",VLOOKUP($E$44,Base!$A$3:$GI$3,174,FALSE))</f>
        <v xml:space="preserve"> </v>
      </c>
      <c r="L524" s="56" t="str">
        <f>IF($E$44="","",VLOOKUP($E$44,Base!$A$3:$GI$3,175,FALSE))</f>
        <v xml:space="preserve"> </v>
      </c>
      <c r="M524" s="56"/>
      <c r="N524" s="56" t="str">
        <f>IF($E$44="","",VLOOKUP($E$44,Base!$A$3:$GI$3,176,FALSE))</f>
        <v xml:space="preserve"> </v>
      </c>
      <c r="O524" s="18"/>
      <c r="P524" s="102"/>
    </row>
    <row r="525" spans="2:16" x14ac:dyDescent="0.25">
      <c r="B525" s="147"/>
      <c r="C525" s="230"/>
      <c r="D525" s="230"/>
      <c r="E525" s="230"/>
      <c r="F525" s="230"/>
      <c r="G525" s="18"/>
      <c r="H525" s="18"/>
      <c r="I525" s="30" t="s">
        <v>64</v>
      </c>
      <c r="J525" s="18"/>
      <c r="K525" s="56">
        <f>IF($E$44="","",VLOOKUP($E$44,Base!$A$3:$GI$3,177,FALSE))</f>
        <v>13</v>
      </c>
      <c r="L525" s="56">
        <f>IF($E$44="","",VLOOKUP($E$44,Base!$A$3:$GI$3,178,FALSE))</f>
        <v>20</v>
      </c>
      <c r="M525" s="56">
        <f>SUM(K525:L525)</f>
        <v>33</v>
      </c>
      <c r="N525" s="56" t="str">
        <f>IF($E$44="","",VLOOKUP($E$44,Base!$A$3:$GI$3,179,FALSE))</f>
        <v xml:space="preserve"> </v>
      </c>
      <c r="O525" s="18"/>
      <c r="P525" s="102"/>
    </row>
    <row r="526" spans="2:16" x14ac:dyDescent="0.25">
      <c r="B526" s="147"/>
      <c r="C526" s="119"/>
      <c r="D526" s="119"/>
      <c r="E526" s="119"/>
      <c r="F526" s="119"/>
      <c r="G526" s="18"/>
      <c r="H526" s="18"/>
      <c r="I526" s="18"/>
      <c r="J526" s="18"/>
      <c r="K526" s="18"/>
      <c r="L526" s="18"/>
      <c r="M526" s="18"/>
      <c r="N526" s="18"/>
      <c r="O526" s="18"/>
      <c r="P526" s="102"/>
    </row>
    <row r="527" spans="2:16" x14ac:dyDescent="0.25">
      <c r="B527" s="98"/>
      <c r="C527" s="119"/>
      <c r="D527" s="119"/>
      <c r="E527" s="119"/>
      <c r="F527" s="119"/>
      <c r="G527" s="18"/>
      <c r="H527" s="18"/>
      <c r="I527" s="31" t="s">
        <v>9</v>
      </c>
      <c r="J527" s="18"/>
      <c r="K527" s="56">
        <f>SUM(K523:K526)</f>
        <v>17</v>
      </c>
      <c r="L527" s="56">
        <f>SUM(L523:L526)</f>
        <v>24</v>
      </c>
      <c r="M527" s="56">
        <f>SUM(M523:M526)</f>
        <v>41</v>
      </c>
      <c r="N527" s="56">
        <f>SUM(N523:N526)</f>
        <v>0</v>
      </c>
      <c r="O527" s="18"/>
      <c r="P527" s="102"/>
    </row>
    <row r="528" spans="2:16" x14ac:dyDescent="0.25">
      <c r="B528" s="98"/>
      <c r="C528" s="119"/>
      <c r="D528" s="119"/>
      <c r="E528" s="119"/>
      <c r="F528" s="119"/>
      <c r="G528" s="18"/>
      <c r="H528" s="18"/>
      <c r="I528" s="18"/>
      <c r="J528" s="18"/>
      <c r="K528" s="18"/>
      <c r="L528" s="18"/>
      <c r="M528" s="18"/>
      <c r="N528" s="18"/>
      <c r="O528" s="18"/>
      <c r="P528" s="102"/>
    </row>
    <row r="529" spans="2:16" ht="15" customHeight="1" x14ac:dyDescent="0.25">
      <c r="B529" s="98"/>
      <c r="C529" s="230" t="s">
        <v>311</v>
      </c>
      <c r="D529" s="230"/>
      <c r="E529" s="230"/>
      <c r="F529" s="230"/>
      <c r="G529" s="18"/>
      <c r="H529" s="18"/>
      <c r="I529" s="31" t="s">
        <v>65</v>
      </c>
      <c r="J529" s="18"/>
      <c r="O529" s="18"/>
      <c r="P529" s="102"/>
    </row>
    <row r="530" spans="2:16" x14ac:dyDescent="0.25">
      <c r="B530" s="98"/>
      <c r="C530" s="230"/>
      <c r="D530" s="230"/>
      <c r="E530" s="230"/>
      <c r="F530" s="230"/>
      <c r="G530" s="18"/>
      <c r="H530" s="18"/>
      <c r="I530" s="30" t="s">
        <v>179</v>
      </c>
      <c r="J530" s="18"/>
      <c r="K530" s="56">
        <f>IF($E$44="","",VLOOKUP($E$44,Base!$A$3:$GI$3,180,FALSE))</f>
        <v>2</v>
      </c>
      <c r="L530" s="56">
        <f>IF($E$44="","",VLOOKUP($E$44,Base!$A$3:$GI$3,181,FALSE))</f>
        <v>4</v>
      </c>
      <c r="M530" s="56">
        <f>SUM(K530:L530)</f>
        <v>6</v>
      </c>
      <c r="N530" s="56" t="str">
        <f>IF($E$44="","",VLOOKUP($E$44,Base!$A$3:$GI$3,185,FALSE))</f>
        <v xml:space="preserve"> </v>
      </c>
      <c r="O530" s="18"/>
      <c r="P530" s="102"/>
    </row>
    <row r="531" spans="2:16" x14ac:dyDescent="0.25">
      <c r="B531" s="98"/>
      <c r="C531" s="230"/>
      <c r="D531" s="230"/>
      <c r="E531" s="230"/>
      <c r="F531" s="230"/>
      <c r="G531" s="18"/>
      <c r="H531" s="18"/>
      <c r="I531" s="30" t="s">
        <v>119</v>
      </c>
      <c r="J531" s="18"/>
      <c r="K531" s="56">
        <f>IF($E$44="","",VLOOKUP($E$44,Base!$A$3:$GI$3,183,FALSE))</f>
        <v>8</v>
      </c>
      <c r="L531" s="56">
        <f>IF($E$44="","",VLOOKUP($E$44,Base!$A$3:$GI$3,184,FALSE))</f>
        <v>14</v>
      </c>
      <c r="M531" s="56">
        <f>SUM(K531:L531)</f>
        <v>22</v>
      </c>
      <c r="N531" s="56" t="str">
        <f>IF($E$44="","",VLOOKUP($E$44,Base!$A$3:$GI$3,185,FALSE))</f>
        <v xml:space="preserve"> </v>
      </c>
      <c r="O531" s="18"/>
      <c r="P531" s="102"/>
    </row>
    <row r="532" spans="2:16" ht="16.8" x14ac:dyDescent="0.25">
      <c r="B532" s="153"/>
      <c r="C532" s="77" t="s">
        <v>15</v>
      </c>
      <c r="D532" s="119"/>
      <c r="E532" s="119"/>
      <c r="F532" s="119"/>
      <c r="G532" s="18"/>
      <c r="H532" s="18"/>
      <c r="I532" s="30" t="s">
        <v>105</v>
      </c>
      <c r="J532" s="18"/>
      <c r="K532" s="56">
        <f>IF($E$44="","",VLOOKUP($E$44,Base!$A$3:$GI$3,186,FALSE))</f>
        <v>7</v>
      </c>
      <c r="L532" s="56">
        <f>IF($E$44="","",VLOOKUP($E$44,Base!$A$3:$GI$3,187,FALSE))</f>
        <v>6</v>
      </c>
      <c r="M532" s="56">
        <f>SUM(K532:L532)</f>
        <v>13</v>
      </c>
      <c r="N532" s="56" t="str">
        <f>IF($E$44="","",VLOOKUP($E$44,Base!$A$3:$GI$3,188,FALSE))</f>
        <v xml:space="preserve"> </v>
      </c>
      <c r="O532" s="18"/>
      <c r="P532" s="102"/>
    </row>
    <row r="533" spans="2:16" x14ac:dyDescent="0.25">
      <c r="B533" s="98"/>
      <c r="C533" s="221" t="s">
        <v>107</v>
      </c>
      <c r="D533" s="221"/>
      <c r="E533" s="221"/>
      <c r="F533" s="221"/>
      <c r="G533" s="18"/>
      <c r="H533" s="18"/>
      <c r="I533" s="18"/>
      <c r="J533" s="18"/>
      <c r="K533" s="18"/>
      <c r="L533" s="18"/>
      <c r="M533" s="18"/>
      <c r="N533" s="18"/>
      <c r="O533" s="18"/>
      <c r="P533" s="102"/>
    </row>
    <row r="534" spans="2:16" ht="15" customHeight="1" x14ac:dyDescent="0.25">
      <c r="B534" s="98"/>
      <c r="C534" s="221"/>
      <c r="D534" s="221"/>
      <c r="E534" s="221"/>
      <c r="F534" s="221"/>
      <c r="G534" s="18"/>
      <c r="H534" s="18"/>
      <c r="I534" s="31" t="s">
        <v>9</v>
      </c>
      <c r="J534" s="18"/>
      <c r="K534" s="56">
        <f>SUM(K530:K533)</f>
        <v>17</v>
      </c>
      <c r="L534" s="56">
        <f>SUM(L530:L533)</f>
        <v>24</v>
      </c>
      <c r="M534" s="56">
        <f>SUM(M530:M533)</f>
        <v>41</v>
      </c>
      <c r="N534" s="56">
        <f>SUM(N529:N533)</f>
        <v>0</v>
      </c>
      <c r="O534" s="18"/>
      <c r="P534" s="102"/>
    </row>
    <row r="535" spans="2:16" x14ac:dyDescent="0.25">
      <c r="B535" s="147"/>
      <c r="C535" s="119"/>
      <c r="D535" s="119"/>
      <c r="E535" s="119"/>
      <c r="F535" s="119"/>
      <c r="G535" s="18"/>
      <c r="H535" s="18"/>
      <c r="I535" s="18"/>
      <c r="J535" s="18"/>
      <c r="K535" s="18"/>
      <c r="L535" s="18"/>
      <c r="M535" s="18"/>
      <c r="N535" s="18"/>
      <c r="O535" s="18"/>
      <c r="P535" s="102"/>
    </row>
    <row r="536" spans="2:16" x14ac:dyDescent="0.25">
      <c r="B536" s="98"/>
      <c r="C536" s="230" t="s">
        <v>312</v>
      </c>
      <c r="D536" s="230"/>
      <c r="E536" s="230"/>
      <c r="F536" s="230"/>
      <c r="G536" s="18"/>
      <c r="H536" s="18"/>
      <c r="I536" s="31" t="s">
        <v>67</v>
      </c>
      <c r="J536" s="18"/>
      <c r="K536" s="18"/>
      <c r="L536" s="18"/>
      <c r="M536" s="18"/>
      <c r="N536" s="18"/>
      <c r="O536" s="18"/>
      <c r="P536" s="102"/>
    </row>
    <row r="537" spans="2:16" x14ac:dyDescent="0.25">
      <c r="B537" s="98"/>
      <c r="C537" s="230"/>
      <c r="D537" s="230"/>
      <c r="E537" s="230"/>
      <c r="F537" s="230"/>
      <c r="G537" s="18"/>
      <c r="H537" s="18"/>
      <c r="I537" s="30" t="s">
        <v>68</v>
      </c>
      <c r="J537" s="18"/>
      <c r="K537" s="56">
        <f>IF($E$44="","",VLOOKUP($E$44,Base!$A$3:$GI$3,189,FALSE))</f>
        <v>17</v>
      </c>
      <c r="L537" s="56">
        <f>IF($E$44="","",VLOOKUP($E$44,Base!$A$3:$GI$3,190,FALSE))</f>
        <v>24</v>
      </c>
      <c r="M537" s="56">
        <f t="shared" ref="M537" si="10">SUM(K537:L537)</f>
        <v>41</v>
      </c>
      <c r="N537" s="56" t="str">
        <f>IF($E$44="","",VLOOKUP($E$44,Base!$A$3:$GI$3,191,FALSE))</f>
        <v xml:space="preserve"> </v>
      </c>
      <c r="O537" s="18"/>
      <c r="P537" s="102"/>
    </row>
    <row r="538" spans="2:16" x14ac:dyDescent="0.25">
      <c r="B538" s="98"/>
      <c r="C538" s="230"/>
      <c r="D538" s="230"/>
      <c r="E538" s="230"/>
      <c r="F538" s="230"/>
      <c r="G538" s="18"/>
      <c r="H538" s="18"/>
      <c r="I538" s="30" t="s">
        <v>69</v>
      </c>
      <c r="J538" s="18"/>
      <c r="K538" s="56" t="str">
        <f>IF($E$44="","",VLOOKUP($E$44,Base!$A$3:$GI$3,191,FALSE))</f>
        <v xml:space="preserve"> </v>
      </c>
      <c r="L538" s="56" t="str">
        <f>IF($E$44="","",VLOOKUP($E$44,Base!$A$3:$GI$3,191,FALSE))</f>
        <v xml:space="preserve"> </v>
      </c>
      <c r="M538" s="56"/>
      <c r="N538" s="56" t="str">
        <f>IF($E$44="","",VLOOKUP($E$44,Base!$A$3:$GI$3,191,FALSE))</f>
        <v xml:space="preserve"> </v>
      </c>
      <c r="O538" s="18"/>
      <c r="P538" s="102"/>
    </row>
    <row r="539" spans="2:16" x14ac:dyDescent="0.25">
      <c r="B539" s="98"/>
      <c r="C539" s="230"/>
      <c r="D539" s="230"/>
      <c r="E539" s="230"/>
      <c r="F539" s="230"/>
      <c r="G539" s="18"/>
      <c r="H539" s="18"/>
      <c r="I539" s="30" t="s">
        <v>139</v>
      </c>
      <c r="J539" s="18"/>
      <c r="K539" s="56" t="str">
        <f>IF($E$44="","",VLOOKUP($E$44,Base!$A$3:$GI$3,191,FALSE))</f>
        <v xml:space="preserve"> </v>
      </c>
      <c r="L539" s="56" t="str">
        <f>IF($E$44="","",VLOOKUP($E$44,Base!$A$3:$GI$3,191,FALSE))</f>
        <v xml:space="preserve"> </v>
      </c>
      <c r="M539" s="56"/>
      <c r="N539" s="56" t="str">
        <f>IF($E$44="","",VLOOKUP($E$44,Base!$A$3:$GI$3,191,FALSE))</f>
        <v xml:space="preserve"> </v>
      </c>
      <c r="O539" s="18"/>
      <c r="P539" s="102"/>
    </row>
    <row r="540" spans="2:16" x14ac:dyDescent="0.25">
      <c r="B540" s="98"/>
      <c r="C540" s="18"/>
      <c r="D540" s="18"/>
      <c r="E540" s="18"/>
      <c r="F540" s="18"/>
      <c r="G540" s="18"/>
      <c r="H540" s="18"/>
      <c r="I540" s="30" t="s">
        <v>140</v>
      </c>
      <c r="J540" s="18"/>
      <c r="K540" s="56" t="str">
        <f>IF($E$44="","",VLOOKUP($E$44,Base!$A$3:$GI$3,191,FALSE))</f>
        <v xml:space="preserve"> </v>
      </c>
      <c r="L540" s="56" t="str">
        <f>IF($E$44="","",VLOOKUP($E$44,Base!$A$3:$GI$3,191,FALSE))</f>
        <v xml:space="preserve"> </v>
      </c>
      <c r="M540" s="56"/>
      <c r="N540" s="56" t="str">
        <f>IF($E$44="","",VLOOKUP($E$44,Base!$A$3:$GI$3,191,FALSE))</f>
        <v xml:space="preserve"> </v>
      </c>
      <c r="O540" s="18"/>
      <c r="P540" s="102"/>
    </row>
    <row r="541" spans="2:16" x14ac:dyDescent="0.25">
      <c r="B541" s="98"/>
      <c r="C541" s="18"/>
      <c r="D541" s="18"/>
      <c r="E541" s="18"/>
      <c r="F541" s="18"/>
      <c r="G541" s="18"/>
      <c r="H541" s="18"/>
      <c r="I541" s="30" t="s">
        <v>141</v>
      </c>
      <c r="J541" s="18"/>
      <c r="K541" s="56" t="str">
        <f>IF($E$44="","",VLOOKUP($E$44,Base!$A$3:$GI$3,191,FALSE))</f>
        <v xml:space="preserve"> </v>
      </c>
      <c r="L541" s="56" t="str">
        <f>IF($E$44="","",VLOOKUP($E$44,Base!$A$3:$GI$3,191,FALSE))</f>
        <v xml:space="preserve"> </v>
      </c>
      <c r="M541" s="56"/>
      <c r="N541" s="56" t="str">
        <f>IF($E$44="","",VLOOKUP($E$44,Base!$A$3:$GI$3,191,FALSE))</f>
        <v xml:space="preserve"> </v>
      </c>
      <c r="O541" s="18"/>
      <c r="P541" s="102"/>
    </row>
    <row r="542" spans="2:16" x14ac:dyDescent="0.25">
      <c r="B542" s="98"/>
      <c r="C542" s="18"/>
      <c r="D542" s="18"/>
      <c r="E542" s="18"/>
      <c r="F542" s="18"/>
      <c r="G542" s="18"/>
      <c r="H542" s="18"/>
      <c r="I542" s="30" t="s">
        <v>180</v>
      </c>
      <c r="J542" s="18"/>
      <c r="K542" s="56" t="str">
        <f>IF($E$44="","",VLOOKUP($E$44,Base!$A$3:$GI$3,191,FALSE))</f>
        <v xml:space="preserve"> </v>
      </c>
      <c r="L542" s="56" t="str">
        <f>IF($E$44="","",VLOOKUP($E$44,Base!$A$3:$GI$3,191,FALSE))</f>
        <v xml:space="preserve"> </v>
      </c>
      <c r="M542" s="56"/>
      <c r="N542" s="56" t="str">
        <f>IF($E$44="","",VLOOKUP($E$44,Base!$A$3:$GI$3,191,FALSE))</f>
        <v xml:space="preserve"> </v>
      </c>
      <c r="O542" s="18"/>
      <c r="P542" s="102"/>
    </row>
    <row r="543" spans="2:16" x14ac:dyDescent="0.25">
      <c r="B543" s="9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02"/>
    </row>
    <row r="544" spans="2:16" x14ac:dyDescent="0.25">
      <c r="B544" s="98"/>
      <c r="C544" s="18"/>
      <c r="D544" s="18"/>
      <c r="E544" s="18"/>
      <c r="F544" s="18"/>
      <c r="G544" s="18"/>
      <c r="H544" s="18"/>
      <c r="I544" s="31" t="s">
        <v>9</v>
      </c>
      <c r="J544" s="18"/>
      <c r="K544" s="56">
        <f>SUM(K537:K543)</f>
        <v>17</v>
      </c>
      <c r="L544" s="56">
        <f>SUM(L537:L543)</f>
        <v>24</v>
      </c>
      <c r="M544" s="56">
        <f>SUM(M537:M543)</f>
        <v>41</v>
      </c>
      <c r="N544" s="56">
        <f>SUM(N537:N543)</f>
        <v>0</v>
      </c>
      <c r="O544" s="18"/>
      <c r="P544" s="102"/>
    </row>
    <row r="545" spans="1:17" ht="15.6" x14ac:dyDescent="0.25">
      <c r="B545" s="182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02"/>
    </row>
    <row r="546" spans="1:17" ht="15.6" x14ac:dyDescent="0.25">
      <c r="B546" s="182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16" t="s">
        <v>325</v>
      </c>
      <c r="P546" s="102"/>
    </row>
    <row r="547" spans="1:17" ht="16.2" thickBot="1" x14ac:dyDescent="0.3">
      <c r="B547" s="178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17" t="s">
        <v>323</v>
      </c>
      <c r="P547" s="142"/>
    </row>
    <row r="548" spans="1:17" ht="15.6" x14ac:dyDescent="0.25">
      <c r="B548" s="79"/>
    </row>
    <row r="549" spans="1:17" ht="16.2" thickBot="1" x14ac:dyDescent="0.3">
      <c r="B549" s="79"/>
    </row>
    <row r="550" spans="1:17" ht="10.5" customHeight="1" x14ac:dyDescent="0.25">
      <c r="B550" s="106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9"/>
      <c r="P550" s="113"/>
    </row>
    <row r="551" spans="1:17" ht="23.25" customHeight="1" x14ac:dyDescent="0.25">
      <c r="B551" s="107"/>
      <c r="C551" s="75" t="s">
        <v>339</v>
      </c>
      <c r="D551" s="75"/>
      <c r="E551" s="75"/>
      <c r="F551" s="75"/>
      <c r="G551" s="75"/>
      <c r="H551" s="75"/>
      <c r="I551" s="18"/>
      <c r="J551" s="18"/>
      <c r="K551" s="75" t="s">
        <v>383</v>
      </c>
      <c r="L551" s="75"/>
      <c r="M551" s="75"/>
      <c r="N551" s="211" t="s">
        <v>328</v>
      </c>
      <c r="O551" s="212"/>
      <c r="P551" s="114"/>
    </row>
    <row r="552" spans="1:17" ht="10.5" customHeight="1" x14ac:dyDescent="0.25">
      <c r="B552" s="107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1"/>
      <c r="P552" s="112"/>
    </row>
    <row r="553" spans="1:17" ht="12" customHeight="1" x14ac:dyDescent="0.25">
      <c r="A553" s="143"/>
      <c r="B553" s="98"/>
      <c r="C553" s="31" t="s">
        <v>326</v>
      </c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02"/>
      <c r="Q553" s="143"/>
    </row>
    <row r="554" spans="1:17" x14ac:dyDescent="0.25">
      <c r="A554" s="143"/>
      <c r="B554" s="9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02"/>
      <c r="Q554" s="143"/>
    </row>
    <row r="555" spans="1:17" ht="27" customHeight="1" x14ac:dyDescent="0.25">
      <c r="A555" s="143"/>
      <c r="B555" s="98"/>
      <c r="C555" s="209" t="s">
        <v>327</v>
      </c>
      <c r="D555" s="210"/>
      <c r="E555" s="45" t="s">
        <v>390</v>
      </c>
      <c r="F555" s="45"/>
      <c r="G555" s="45"/>
      <c r="H555" s="45"/>
      <c r="I555" s="45"/>
      <c r="J555" s="45"/>
      <c r="K555" s="45"/>
      <c r="L555" s="45"/>
      <c r="M555" s="45"/>
      <c r="N555" s="45"/>
      <c r="O555" s="131"/>
      <c r="P555" s="102"/>
      <c r="Q555" s="143"/>
    </row>
    <row r="556" spans="1:17" x14ac:dyDescent="0.25">
      <c r="A556" s="143"/>
      <c r="B556" s="98"/>
      <c r="C556" s="132"/>
      <c r="D556" s="133"/>
      <c r="E556" s="133"/>
      <c r="F556" s="133"/>
      <c r="G556" s="133"/>
      <c r="H556" s="133"/>
      <c r="I556" s="133"/>
      <c r="J556" s="18"/>
      <c r="K556" s="18"/>
      <c r="L556" s="18"/>
      <c r="M556" s="18"/>
      <c r="N556" s="18"/>
      <c r="O556" s="93"/>
      <c r="P556" s="102"/>
      <c r="Q556" s="143"/>
    </row>
    <row r="557" spans="1:17" x14ac:dyDescent="0.25">
      <c r="A557" s="143"/>
      <c r="B557" s="98"/>
      <c r="C557" s="134" t="s">
        <v>391</v>
      </c>
      <c r="D557" s="135"/>
      <c r="E557" s="135"/>
      <c r="F557" s="135"/>
      <c r="G557" s="135"/>
      <c r="H557" s="135"/>
      <c r="I557" s="135"/>
      <c r="J557" s="36"/>
      <c r="K557" s="36"/>
      <c r="L557" s="36"/>
      <c r="M557" s="36"/>
      <c r="N557" s="36"/>
      <c r="O557" s="136"/>
      <c r="P557" s="102"/>
      <c r="Q557" s="143"/>
    </row>
    <row r="558" spans="1:17" x14ac:dyDescent="0.25">
      <c r="A558" s="143"/>
      <c r="B558" s="98"/>
      <c r="C558" s="132"/>
      <c r="D558" s="133"/>
      <c r="E558" s="133"/>
      <c r="F558" s="133"/>
      <c r="G558" s="133"/>
      <c r="H558" s="133"/>
      <c r="I558" s="133"/>
      <c r="J558" s="18"/>
      <c r="K558" s="18"/>
      <c r="L558" s="18"/>
      <c r="M558" s="18"/>
      <c r="N558" s="18"/>
      <c r="O558" s="93"/>
      <c r="P558" s="102"/>
      <c r="Q558" s="143"/>
    </row>
    <row r="559" spans="1:17" x14ac:dyDescent="0.25">
      <c r="A559" s="143"/>
      <c r="B559" s="98"/>
      <c r="C559" s="134"/>
      <c r="D559" s="135"/>
      <c r="E559" s="135"/>
      <c r="F559" s="135"/>
      <c r="G559" s="135"/>
      <c r="H559" s="135"/>
      <c r="I559" s="135"/>
      <c r="J559" s="36"/>
      <c r="K559" s="36"/>
      <c r="L559" s="36"/>
      <c r="M559" s="36"/>
      <c r="N559" s="36"/>
      <c r="O559" s="136"/>
      <c r="P559" s="102"/>
      <c r="Q559" s="143"/>
    </row>
    <row r="560" spans="1:17" x14ac:dyDescent="0.25">
      <c r="A560" s="143"/>
      <c r="B560" s="98"/>
      <c r="C560" s="132"/>
      <c r="D560" s="133"/>
      <c r="E560" s="133"/>
      <c r="F560" s="133"/>
      <c r="G560" s="133"/>
      <c r="H560" s="133"/>
      <c r="I560" s="133"/>
      <c r="J560" s="18"/>
      <c r="K560" s="18"/>
      <c r="L560" s="18"/>
      <c r="M560" s="18"/>
      <c r="N560" s="18"/>
      <c r="O560" s="93"/>
      <c r="P560" s="102"/>
      <c r="Q560" s="143"/>
    </row>
    <row r="561" spans="1:17" x14ac:dyDescent="0.25">
      <c r="A561" s="143"/>
      <c r="B561" s="98"/>
      <c r="C561" s="134"/>
      <c r="D561" s="135"/>
      <c r="E561" s="135"/>
      <c r="F561" s="135"/>
      <c r="G561" s="135"/>
      <c r="H561" s="135"/>
      <c r="I561" s="135"/>
      <c r="J561" s="36"/>
      <c r="K561" s="36"/>
      <c r="L561" s="36"/>
      <c r="M561" s="36"/>
      <c r="N561" s="36"/>
      <c r="O561" s="136"/>
      <c r="P561" s="102"/>
      <c r="Q561" s="143"/>
    </row>
    <row r="562" spans="1:17" x14ac:dyDescent="0.25">
      <c r="A562" s="143"/>
      <c r="B562" s="98"/>
      <c r="C562" s="132"/>
      <c r="D562" s="133"/>
      <c r="E562" s="133"/>
      <c r="F562" s="133"/>
      <c r="G562" s="133"/>
      <c r="H562" s="133"/>
      <c r="I562" s="133"/>
      <c r="J562" s="18"/>
      <c r="K562" s="18"/>
      <c r="L562" s="18"/>
      <c r="M562" s="18"/>
      <c r="N562" s="18"/>
      <c r="O562" s="93"/>
      <c r="P562" s="102"/>
      <c r="Q562" s="143"/>
    </row>
    <row r="563" spans="1:17" x14ac:dyDescent="0.25">
      <c r="A563" s="143"/>
      <c r="B563" s="98"/>
      <c r="C563" s="134"/>
      <c r="D563" s="135"/>
      <c r="E563" s="135"/>
      <c r="F563" s="135"/>
      <c r="G563" s="135"/>
      <c r="H563" s="135"/>
      <c r="I563" s="135"/>
      <c r="J563" s="36"/>
      <c r="K563" s="36"/>
      <c r="L563" s="36"/>
      <c r="M563" s="36"/>
      <c r="N563" s="36"/>
      <c r="O563" s="136"/>
      <c r="P563" s="102"/>
      <c r="Q563" s="143"/>
    </row>
    <row r="564" spans="1:17" ht="27" customHeight="1" x14ac:dyDescent="0.25">
      <c r="A564" s="143"/>
      <c r="B564" s="98"/>
      <c r="C564" s="137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136"/>
      <c r="P564" s="102"/>
      <c r="Q564" s="143"/>
    </row>
    <row r="565" spans="1:17" x14ac:dyDescent="0.25">
      <c r="A565" s="143"/>
      <c r="B565" s="98"/>
      <c r="C565" s="30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02"/>
      <c r="Q565" s="143"/>
    </row>
    <row r="566" spans="1:17" x14ac:dyDescent="0.25">
      <c r="A566" s="143"/>
      <c r="B566" s="98"/>
      <c r="C566" s="30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02"/>
      <c r="Q566" s="143"/>
    </row>
    <row r="567" spans="1:17" x14ac:dyDescent="0.25">
      <c r="A567" s="143"/>
      <c r="B567" s="98"/>
      <c r="C567" s="30"/>
      <c r="D567" s="89"/>
      <c r="E567" s="90"/>
      <c r="F567" s="90"/>
      <c r="G567" s="91"/>
      <c r="H567" s="18"/>
      <c r="I567" s="18"/>
      <c r="J567" s="18"/>
      <c r="K567" s="18"/>
      <c r="L567" s="18"/>
      <c r="M567" s="18"/>
      <c r="N567" s="18"/>
      <c r="O567" s="18"/>
      <c r="P567" s="102"/>
      <c r="Q567" s="143"/>
    </row>
    <row r="568" spans="1:17" x14ac:dyDescent="0.25">
      <c r="A568" s="143"/>
      <c r="B568" s="98"/>
      <c r="C568" s="30"/>
      <c r="D568" s="92"/>
      <c r="E568" s="18"/>
      <c r="F568" s="18"/>
      <c r="G568" s="93"/>
      <c r="J568" s="202" t="str">
        <f>IF($E$44="","",VLOOKUP($E$44,Base!$A$3:$GP$3,192,FALSE))</f>
        <v>LIC. JUAN JOSÉ OLIN FABELA</v>
      </c>
      <c r="K568" s="202"/>
      <c r="L568" s="202"/>
      <c r="M568" s="202"/>
      <c r="N568" s="202"/>
      <c r="O568" s="18"/>
      <c r="P568" s="102"/>
      <c r="Q568" s="143"/>
    </row>
    <row r="569" spans="1:17" ht="15.6" x14ac:dyDescent="0.25">
      <c r="A569" s="143"/>
      <c r="B569" s="98"/>
      <c r="D569" s="92"/>
      <c r="E569" s="18"/>
      <c r="F569" s="18"/>
      <c r="G569" s="93"/>
      <c r="J569" s="203" t="s">
        <v>39</v>
      </c>
      <c r="K569" s="213"/>
      <c r="L569" s="213"/>
      <c r="M569" s="213"/>
      <c r="N569" s="213"/>
      <c r="O569" s="61"/>
      <c r="P569" s="102"/>
      <c r="Q569" s="143"/>
    </row>
    <row r="570" spans="1:17" x14ac:dyDescent="0.25">
      <c r="A570" s="143"/>
      <c r="B570" s="98"/>
      <c r="C570" s="30"/>
      <c r="D570" s="92"/>
      <c r="E570" s="18"/>
      <c r="F570" s="18"/>
      <c r="G570" s="93"/>
      <c r="H570" s="18"/>
      <c r="I570" s="18"/>
      <c r="J570" s="18"/>
      <c r="K570" s="18"/>
      <c r="L570" s="18"/>
      <c r="M570" s="18"/>
      <c r="N570" s="18"/>
      <c r="O570" s="18"/>
      <c r="P570" s="102"/>
      <c r="Q570" s="143"/>
    </row>
    <row r="571" spans="1:17" x14ac:dyDescent="0.25">
      <c r="A571" s="143"/>
      <c r="B571" s="98"/>
      <c r="C571" s="30"/>
      <c r="D571" s="92"/>
      <c r="E571" s="18"/>
      <c r="F571" s="18"/>
      <c r="G571" s="93"/>
      <c r="H571" s="18"/>
      <c r="I571" s="18"/>
      <c r="J571" s="18"/>
      <c r="K571" s="18"/>
      <c r="L571" s="18"/>
      <c r="M571" s="18"/>
      <c r="N571" s="18"/>
      <c r="O571" s="18"/>
      <c r="P571" s="102"/>
      <c r="Q571" s="143"/>
    </row>
    <row r="572" spans="1:17" x14ac:dyDescent="0.25">
      <c r="A572" s="143"/>
      <c r="B572" s="98"/>
      <c r="C572" s="30"/>
      <c r="D572" s="92"/>
      <c r="E572" s="18"/>
      <c r="F572" s="18"/>
      <c r="G572" s="93"/>
      <c r="H572" s="18"/>
      <c r="I572" s="18"/>
      <c r="J572" s="202" t="str">
        <f>IF($E$44="","",VLOOKUP($E$44,Base!$A$3:$GP$3,193,FALSE))</f>
        <v>JEFE DE LA UIPPE</v>
      </c>
      <c r="K572" s="202"/>
      <c r="L572" s="202"/>
      <c r="M572" s="202"/>
      <c r="N572" s="202"/>
      <c r="O572" s="18"/>
      <c r="P572" s="102"/>
      <c r="Q572" s="143"/>
    </row>
    <row r="573" spans="1:17" ht="15.6" x14ac:dyDescent="0.25">
      <c r="A573" s="143"/>
      <c r="B573" s="98"/>
      <c r="C573" s="30"/>
      <c r="D573" s="92"/>
      <c r="E573" s="18"/>
      <c r="F573" s="18"/>
      <c r="G573" s="93"/>
      <c r="H573" s="18"/>
      <c r="I573" s="18"/>
      <c r="J573" s="213" t="s">
        <v>329</v>
      </c>
      <c r="K573" s="213"/>
      <c r="L573" s="213"/>
      <c r="M573" s="213"/>
      <c r="N573" s="213"/>
      <c r="O573" s="18"/>
      <c r="P573" s="102"/>
      <c r="Q573" s="143"/>
    </row>
    <row r="574" spans="1:17" x14ac:dyDescent="0.25">
      <c r="A574" s="143"/>
      <c r="B574" s="98"/>
      <c r="C574" s="30"/>
      <c r="D574" s="92"/>
      <c r="E574" s="18"/>
      <c r="F574" s="18"/>
      <c r="G574" s="93"/>
      <c r="H574" s="18"/>
      <c r="I574" s="18"/>
      <c r="J574" s="18"/>
      <c r="K574" s="18"/>
      <c r="L574" s="18"/>
      <c r="M574" s="18"/>
      <c r="N574" s="18"/>
      <c r="O574" s="18"/>
      <c r="P574" s="102"/>
      <c r="Q574" s="143"/>
    </row>
    <row r="575" spans="1:17" ht="16.8" x14ac:dyDescent="0.25">
      <c r="A575" s="143"/>
      <c r="B575" s="98"/>
      <c r="C575" s="94"/>
      <c r="D575" s="92"/>
      <c r="E575" s="18"/>
      <c r="F575" s="18"/>
      <c r="G575" s="93"/>
      <c r="H575" s="18"/>
      <c r="I575" s="18"/>
      <c r="J575" s="18"/>
      <c r="K575" s="18"/>
      <c r="L575" s="18"/>
      <c r="M575" s="18"/>
      <c r="N575" s="18"/>
      <c r="O575" s="18"/>
      <c r="P575" s="102"/>
      <c r="Q575" s="143"/>
    </row>
    <row r="576" spans="1:17" x14ac:dyDescent="0.25">
      <c r="A576" s="143"/>
      <c r="B576" s="98"/>
      <c r="C576" s="18"/>
      <c r="D576" s="92"/>
      <c r="E576" s="18"/>
      <c r="F576" s="18"/>
      <c r="G576" s="93"/>
      <c r="H576" s="18"/>
      <c r="I576" s="18"/>
      <c r="J576" s="202" t="str">
        <f>IF($E$44="","",VLOOKUP($E$44,Base!$A$3:$GP$3,194,FALSE))</f>
        <v>planeacion.evaluacion@umb.mx</v>
      </c>
      <c r="K576" s="202"/>
      <c r="L576" s="202"/>
      <c r="M576" s="202"/>
      <c r="N576" s="202"/>
      <c r="O576" s="18"/>
      <c r="P576" s="102"/>
      <c r="Q576" s="143"/>
    </row>
    <row r="577" spans="1:17" ht="17.399999999999999" x14ac:dyDescent="0.25">
      <c r="A577" s="143"/>
      <c r="B577" s="98"/>
      <c r="C577" s="78"/>
      <c r="D577" s="214" t="s">
        <v>108</v>
      </c>
      <c r="E577" s="215"/>
      <c r="F577" s="215"/>
      <c r="G577" s="216"/>
      <c r="H577" s="18"/>
      <c r="I577" s="18"/>
      <c r="J577" s="213" t="s">
        <v>330</v>
      </c>
      <c r="K577" s="213"/>
      <c r="L577" s="213"/>
      <c r="M577" s="213"/>
      <c r="N577" s="213"/>
      <c r="O577" s="61"/>
      <c r="P577" s="102"/>
      <c r="Q577" s="143"/>
    </row>
    <row r="578" spans="1:17" x14ac:dyDescent="0.25">
      <c r="A578" s="143"/>
      <c r="B578" s="98"/>
      <c r="C578" s="30"/>
      <c r="D578" s="18"/>
      <c r="H578" s="18"/>
      <c r="I578" s="18"/>
      <c r="J578" s="18"/>
      <c r="K578" s="18"/>
      <c r="L578" s="18"/>
      <c r="M578" s="18"/>
      <c r="N578" s="18"/>
      <c r="O578" s="18"/>
      <c r="P578" s="102"/>
      <c r="Q578" s="143"/>
    </row>
    <row r="579" spans="1:17" x14ac:dyDescent="0.25">
      <c r="A579" s="143"/>
      <c r="B579" s="9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02"/>
      <c r="Q579" s="143"/>
    </row>
    <row r="580" spans="1:17" ht="17.399999999999999" x14ac:dyDescent="0.25">
      <c r="A580" s="143"/>
      <c r="B580" s="98"/>
      <c r="C580" s="138"/>
      <c r="D580" s="138"/>
      <c r="H580" s="18"/>
      <c r="I580" s="18"/>
      <c r="J580" s="18"/>
      <c r="K580" s="18"/>
      <c r="L580" s="18"/>
      <c r="M580" s="18"/>
      <c r="N580" s="18"/>
      <c r="O580" s="18"/>
      <c r="P580" s="102"/>
      <c r="Q580" s="143"/>
    </row>
    <row r="581" spans="1:17" x14ac:dyDescent="0.25">
      <c r="A581" s="143"/>
      <c r="B581" s="98"/>
      <c r="C581" s="202" t="str">
        <f>IF($E$44="","",VLOOKUP($E$44,Base!$A$3:$GP$3,195,FALSE))</f>
        <v>M. EN A. URIEL GALICIA HERNÁNDEZ</v>
      </c>
      <c r="D581" s="202"/>
      <c r="E581" s="202"/>
      <c r="F581" s="202"/>
      <c r="G581" s="202"/>
      <c r="H581" s="202"/>
      <c r="I581" s="18"/>
      <c r="J581" s="18"/>
      <c r="K581" s="206" t="s">
        <v>41</v>
      </c>
      <c r="L581" s="206"/>
      <c r="M581" s="33" t="s">
        <v>42</v>
      </c>
      <c r="N581" s="33" t="s">
        <v>43</v>
      </c>
      <c r="O581" s="18"/>
      <c r="P581" s="102"/>
      <c r="Q581" s="143"/>
    </row>
    <row r="582" spans="1:17" ht="15.6" x14ac:dyDescent="0.25">
      <c r="A582" s="143"/>
      <c r="B582" s="98"/>
      <c r="C582" s="203" t="s">
        <v>338</v>
      </c>
      <c r="D582" s="203"/>
      <c r="E582" s="203"/>
      <c r="F582" s="203"/>
      <c r="G582" s="203"/>
      <c r="H582" s="203"/>
      <c r="I582" s="204" t="s">
        <v>40</v>
      </c>
      <c r="J582" s="205"/>
      <c r="K582" s="207">
        <f>IF($E$44="","",VLOOKUP($E$44,Base!$A$3:$GP$3,196,FALSE))</f>
        <v>2014</v>
      </c>
      <c r="L582" s="208"/>
      <c r="M582" s="144">
        <f>IF($E$44="","",VLOOKUP($E$44,Base!$A$3:$GP$3,197,FALSE))</f>
        <v>9</v>
      </c>
      <c r="N582" s="56">
        <f>IF($E$44="","",VLOOKUP($E$44,Base!$A$3:$GP$3,198,FALSE))</f>
        <v>30</v>
      </c>
      <c r="O582" s="18"/>
      <c r="P582" s="102"/>
      <c r="Q582" s="143"/>
    </row>
    <row r="583" spans="1:17" x14ac:dyDescent="0.25">
      <c r="A583" s="143"/>
      <c r="B583" s="98"/>
      <c r="C583" s="30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02"/>
      <c r="Q583" s="143"/>
    </row>
    <row r="584" spans="1:17" ht="14.4" thickBot="1" x14ac:dyDescent="0.3">
      <c r="A584" s="143"/>
      <c r="B584" s="139"/>
      <c r="C584" s="140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2"/>
      <c r="Q584" s="143"/>
    </row>
  </sheetData>
  <mergeCells count="210">
    <mergeCell ref="C536:F539"/>
    <mergeCell ref="C17:O17"/>
    <mergeCell ref="C19:O19"/>
    <mergeCell ref="H127:K130"/>
    <mergeCell ref="C120:F121"/>
    <mergeCell ref="F39:L39"/>
    <mergeCell ref="C122:F124"/>
    <mergeCell ref="C159:F160"/>
    <mergeCell ref="L159:M159"/>
    <mergeCell ref="K133:M133"/>
    <mergeCell ref="C133:F136"/>
    <mergeCell ref="C150:F151"/>
    <mergeCell ref="L156:M156"/>
    <mergeCell ref="L150:M150"/>
    <mergeCell ref="J77:L78"/>
    <mergeCell ref="K518:K519"/>
    <mergeCell ref="L518:L519"/>
    <mergeCell ref="M518:M519"/>
    <mergeCell ref="L166:M166"/>
    <mergeCell ref="C208:O209"/>
    <mergeCell ref="C210:O211"/>
    <mergeCell ref="F183:L183"/>
    <mergeCell ref="E191:H191"/>
    <mergeCell ref="C220:F222"/>
    <mergeCell ref="H221:J223"/>
    <mergeCell ref="L221:M221"/>
    <mergeCell ref="J229:K229"/>
    <mergeCell ref="C228:F232"/>
    <mergeCell ref="C225:F226"/>
    <mergeCell ref="L243:M243"/>
    <mergeCell ref="N243:O243"/>
    <mergeCell ref="L242:M242"/>
    <mergeCell ref="N242:O242"/>
    <mergeCell ref="L237:M238"/>
    <mergeCell ref="N237:O238"/>
    <mergeCell ref="L239:M239"/>
    <mergeCell ref="N239:O239"/>
    <mergeCell ref="L240:M240"/>
    <mergeCell ref="N240:O240"/>
    <mergeCell ref="L241:M241"/>
    <mergeCell ref="N241:O241"/>
    <mergeCell ref="J230:K230"/>
    <mergeCell ref="L230:M230"/>
    <mergeCell ref="N230:O230"/>
    <mergeCell ref="J231:K231"/>
    <mergeCell ref="L231:M231"/>
    <mergeCell ref="N231:O231"/>
    <mergeCell ref="J227:K228"/>
    <mergeCell ref="K44:L44"/>
    <mergeCell ref="I47:J47"/>
    <mergeCell ref="C64:O64"/>
    <mergeCell ref="C65:O65"/>
    <mergeCell ref="C73:H74"/>
    <mergeCell ref="N96:N97"/>
    <mergeCell ref="C111:F113"/>
    <mergeCell ref="K442:K443"/>
    <mergeCell ref="L442:L443"/>
    <mergeCell ref="M442:M443"/>
    <mergeCell ref="C115:F118"/>
    <mergeCell ref="J87:L88"/>
    <mergeCell ref="C96:F99"/>
    <mergeCell ref="C101:F102"/>
    <mergeCell ref="O113:O114"/>
    <mergeCell ref="H123:K126"/>
    <mergeCell ref="L151:M151"/>
    <mergeCell ref="L152:M152"/>
    <mergeCell ref="L153:M153"/>
    <mergeCell ref="L154:M154"/>
    <mergeCell ref="L160:M160"/>
    <mergeCell ref="L161:M161"/>
    <mergeCell ref="J225:O225"/>
    <mergeCell ref="C237:F241"/>
    <mergeCell ref="L227:M228"/>
    <mergeCell ref="N227:O228"/>
    <mergeCell ref="N229:O229"/>
    <mergeCell ref="L229:M229"/>
    <mergeCell ref="J233:K233"/>
    <mergeCell ref="L233:M233"/>
    <mergeCell ref="N233:O233"/>
    <mergeCell ref="C257:F258"/>
    <mergeCell ref="C259:F264"/>
    <mergeCell ref="L244:M244"/>
    <mergeCell ref="N244:O244"/>
    <mergeCell ref="C266:F267"/>
    <mergeCell ref="L245:M245"/>
    <mergeCell ref="N245:O245"/>
    <mergeCell ref="L246:M246"/>
    <mergeCell ref="N246:O246"/>
    <mergeCell ref="L248:M248"/>
    <mergeCell ref="N248:O248"/>
    <mergeCell ref="O259:O260"/>
    <mergeCell ref="H268:K269"/>
    <mergeCell ref="C296:F298"/>
    <mergeCell ref="I271:K271"/>
    <mergeCell ref="L271:O271"/>
    <mergeCell ref="I296:K296"/>
    <mergeCell ref="L296:O296"/>
    <mergeCell ref="I297:I298"/>
    <mergeCell ref="J297:J298"/>
    <mergeCell ref="K297:K298"/>
    <mergeCell ref="L297:L298"/>
    <mergeCell ref="M297:M298"/>
    <mergeCell ref="N297:N298"/>
    <mergeCell ref="O297:O298"/>
    <mergeCell ref="H297:H298"/>
    <mergeCell ref="C272:F275"/>
    <mergeCell ref="H272:H273"/>
    <mergeCell ref="I272:I273"/>
    <mergeCell ref="J272:J273"/>
    <mergeCell ref="K272:K273"/>
    <mergeCell ref="L272:L273"/>
    <mergeCell ref="M272:M273"/>
    <mergeCell ref="N272:N273"/>
    <mergeCell ref="O272:O273"/>
    <mergeCell ref="C353:O354"/>
    <mergeCell ref="C355:O356"/>
    <mergeCell ref="C368:F370"/>
    <mergeCell ref="C383:F386"/>
    <mergeCell ref="L382:L383"/>
    <mergeCell ref="M382:O383"/>
    <mergeCell ref="F330:L330"/>
    <mergeCell ref="E338:H338"/>
    <mergeCell ref="F331:L331"/>
    <mergeCell ref="F332:L333"/>
    <mergeCell ref="N362:O362"/>
    <mergeCell ref="I382:J383"/>
    <mergeCell ref="M488:M489"/>
    <mergeCell ref="N488:N489"/>
    <mergeCell ref="O488:O489"/>
    <mergeCell ref="N518:N519"/>
    <mergeCell ref="J422:K422"/>
    <mergeCell ref="J423:K423"/>
    <mergeCell ref="J424:K424"/>
    <mergeCell ref="C404:F407"/>
    <mergeCell ref="N405:N406"/>
    <mergeCell ref="C418:F419"/>
    <mergeCell ref="J418:K419"/>
    <mergeCell ref="H418:H419"/>
    <mergeCell ref="F40:L40"/>
    <mergeCell ref="F41:L42"/>
    <mergeCell ref="C76:F81"/>
    <mergeCell ref="F184:L184"/>
    <mergeCell ref="F185:L186"/>
    <mergeCell ref="L162:M162"/>
    <mergeCell ref="L163:M163"/>
    <mergeCell ref="L164:M164"/>
    <mergeCell ref="M470:N470"/>
    <mergeCell ref="C451:F454"/>
    <mergeCell ref="C459:F461"/>
    <mergeCell ref="K458:N458"/>
    <mergeCell ref="M459:N460"/>
    <mergeCell ref="I459:J460"/>
    <mergeCell ref="K459:K460"/>
    <mergeCell ref="M461:N461"/>
    <mergeCell ref="N442:N443"/>
    <mergeCell ref="J404:N404"/>
    <mergeCell ref="K441:N441"/>
    <mergeCell ref="J425:K425"/>
    <mergeCell ref="J429:K429"/>
    <mergeCell ref="C442:F445"/>
    <mergeCell ref="J420:K420"/>
    <mergeCell ref="J421:K421"/>
    <mergeCell ref="N551:O551"/>
    <mergeCell ref="J568:N568"/>
    <mergeCell ref="J569:N569"/>
    <mergeCell ref="J572:N572"/>
    <mergeCell ref="J573:N573"/>
    <mergeCell ref="J576:N576"/>
    <mergeCell ref="D577:G577"/>
    <mergeCell ref="J577:N577"/>
    <mergeCell ref="N399:O399"/>
    <mergeCell ref="M405:M406"/>
    <mergeCell ref="L405:L406"/>
    <mergeCell ref="K405:K406"/>
    <mergeCell ref="J405:J406"/>
    <mergeCell ref="N436:O436"/>
    <mergeCell ref="N480:O480"/>
    <mergeCell ref="N513:O513"/>
    <mergeCell ref="C533:F534"/>
    <mergeCell ref="M471:N471"/>
    <mergeCell ref="M472:N472"/>
    <mergeCell ref="M474:N474"/>
    <mergeCell ref="C467:F470"/>
    <mergeCell ref="M462:N462"/>
    <mergeCell ref="M463:N463"/>
    <mergeCell ref="M465:N465"/>
    <mergeCell ref="D57:E57"/>
    <mergeCell ref="C349:G349"/>
    <mergeCell ref="C203:G203"/>
    <mergeCell ref="C582:H582"/>
    <mergeCell ref="C581:H581"/>
    <mergeCell ref="I582:J582"/>
    <mergeCell ref="K581:L581"/>
    <mergeCell ref="K582:L582"/>
    <mergeCell ref="E44:F44"/>
    <mergeCell ref="C555:D555"/>
    <mergeCell ref="K467:N467"/>
    <mergeCell ref="I468:J469"/>
    <mergeCell ref="K468:K469"/>
    <mergeCell ref="M468:N469"/>
    <mergeCell ref="C529:F531"/>
    <mergeCell ref="C517:F519"/>
    <mergeCell ref="K517:N517"/>
    <mergeCell ref="C522:F525"/>
    <mergeCell ref="C485:F486"/>
    <mergeCell ref="I487:O487"/>
    <mergeCell ref="I488:I489"/>
    <mergeCell ref="J488:J489"/>
    <mergeCell ref="K488:K489"/>
    <mergeCell ref="L488:L489"/>
  </mergeCells>
  <printOptions horizontalCentered="1" verticalCentered="1"/>
  <pageMargins left="0.19685039370078741" right="0.35433070866141736" top="0.43307086614173229" bottom="0.47244094488188981" header="0.31496062992125984" footer="0.31496062992125984"/>
  <pageSetup scale="10" orientation="landscape" horizontalDpi="300" verticalDpi="300" r:id="rId1"/>
  <rowBreaks count="15" manualBreakCount="15">
    <brk id="35" max="16383" man="1"/>
    <brk id="68" max="16383" man="1"/>
    <brk id="106" max="16383" man="1"/>
    <brk id="143" max="16383" man="1"/>
    <brk id="179" max="16383" man="1"/>
    <brk id="213" max="16383" man="1"/>
    <brk id="252" max="16383" man="1"/>
    <brk id="291" max="16383" man="1"/>
    <brk id="326" max="16383" man="1"/>
    <brk id="359" max="16383" man="1"/>
    <brk id="396" max="16383" man="1"/>
    <brk id="433" max="16383" man="1"/>
    <brk id="477" max="16383" man="1"/>
    <brk id="510" max="16383" man="1"/>
    <brk id="54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Base!$A$3:$A$40</xm:f>
          </x14:formula1>
          <xm:sqref>E44</xm:sqref>
        </x14:dataValidation>
        <x14:dataValidation type="list" allowBlank="1" showInputMessage="1" showErrorMessage="1">
          <x14:formula1>
            <xm:f>Base!#REF!</xm:f>
          </x14:formula1>
          <xm:sqref>K44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P37"/>
  <sheetViews>
    <sheetView tabSelected="1" topLeftCell="X1" zoomScaleNormal="100" workbookViewId="0">
      <selection activeCell="AF3" activeCellId="2" sqref="Z3:AA3 AC3:AD3 AF3:AG3"/>
    </sheetView>
  </sheetViews>
  <sheetFormatPr baseColWidth="10" defaultRowHeight="14.4" x14ac:dyDescent="0.3"/>
  <cols>
    <col min="2" max="2" width="14.88671875" customWidth="1"/>
    <col min="9" max="9" width="12" bestFit="1" customWidth="1"/>
    <col min="10" max="10" width="6.33203125" bestFit="1" customWidth="1"/>
    <col min="12" max="12" width="12" bestFit="1" customWidth="1"/>
    <col min="13" max="13" width="9.33203125" bestFit="1" customWidth="1"/>
    <col min="14" max="14" width="9.5546875" bestFit="1" customWidth="1"/>
    <col min="15" max="15" width="8.5546875" bestFit="1" customWidth="1"/>
    <col min="16" max="16" width="9.5546875" bestFit="1" customWidth="1"/>
    <col min="17" max="17" width="8.5546875" bestFit="1" customWidth="1"/>
    <col min="18" max="18" width="11.44140625" bestFit="1" customWidth="1"/>
    <col min="19" max="20" width="11.44140625" customWidth="1"/>
    <col min="21" max="21" width="15.44140625" customWidth="1"/>
    <col min="23" max="23" width="16.44140625" customWidth="1"/>
    <col min="24" max="24" width="13.44140625" bestFit="1" customWidth="1"/>
    <col min="25" max="25" width="14.44140625" customWidth="1"/>
    <col min="26" max="28" width="5" customWidth="1"/>
    <col min="29" max="31" width="6.33203125" customWidth="1"/>
    <col min="32" max="34" width="4.5546875" customWidth="1"/>
    <col min="35" max="37" width="4.33203125" customWidth="1"/>
    <col min="38" max="40" width="4" customWidth="1"/>
    <col min="41" max="43" width="5.44140625" customWidth="1"/>
    <col min="44" max="46" width="4.44140625" customWidth="1"/>
    <col min="47" max="49" width="5.5546875" customWidth="1"/>
    <col min="50" max="52" width="4.33203125" customWidth="1"/>
    <col min="53" max="55" width="4.44140625" customWidth="1"/>
    <col min="56" max="56" width="9.33203125" bestFit="1" customWidth="1"/>
    <col min="57" max="58" width="14.44140625" customWidth="1"/>
    <col min="59" max="59" width="16.5546875" customWidth="1"/>
    <col min="60" max="60" width="17.5546875" customWidth="1"/>
    <col min="61" max="61" width="15" customWidth="1"/>
    <col min="62" max="62" width="14.44140625" customWidth="1"/>
    <col min="63" max="63" width="12.109375" bestFit="1" customWidth="1"/>
    <col min="64" max="64" width="11.88671875" bestFit="1" customWidth="1"/>
    <col min="65" max="65" width="6.6640625" bestFit="1" customWidth="1"/>
    <col min="66" max="66" width="4.6640625" customWidth="1"/>
    <col min="67" max="67" width="10" bestFit="1" customWidth="1"/>
    <col min="68" max="68" width="10" customWidth="1"/>
    <col min="69" max="69" width="7.5546875" bestFit="1" customWidth="1"/>
    <col min="70" max="70" width="11.44140625" bestFit="1" customWidth="1"/>
    <col min="71" max="71" width="4.6640625" bestFit="1" customWidth="1"/>
    <col min="72" max="72" width="10" customWidth="1"/>
    <col min="73" max="73" width="9.44140625" bestFit="1" customWidth="1"/>
    <col min="74" max="74" width="9.6640625" bestFit="1" customWidth="1"/>
    <col min="75" max="75" width="6.44140625" bestFit="1" customWidth="1"/>
    <col min="76" max="76" width="13.5546875" bestFit="1" customWidth="1"/>
    <col min="77" max="77" width="8.44140625" bestFit="1" customWidth="1"/>
    <col min="78" max="78" width="6.44140625" bestFit="1" customWidth="1"/>
    <col min="79" max="79" width="7.109375" bestFit="1" customWidth="1"/>
    <col min="80" max="80" width="6.5546875" bestFit="1" customWidth="1"/>
    <col min="81" max="81" width="2.88671875" bestFit="1" customWidth="1"/>
    <col min="82" max="82" width="8.109375" customWidth="1"/>
    <col min="83" max="83" width="7.109375" bestFit="1" customWidth="1"/>
    <col min="84" max="84" width="6.5546875" bestFit="1" customWidth="1"/>
    <col min="85" max="85" width="2.88671875" bestFit="1" customWidth="1"/>
    <col min="86" max="86" width="6.44140625" bestFit="1" customWidth="1"/>
    <col min="87" max="87" width="7.109375" bestFit="1" customWidth="1"/>
    <col min="88" max="88" width="6.5546875" bestFit="1" customWidth="1"/>
    <col min="89" max="89" width="2.88671875" bestFit="1" customWidth="1"/>
    <col min="90" max="90" width="6.44140625" bestFit="1" customWidth="1"/>
    <col min="91" max="91" width="7.109375" bestFit="1" customWidth="1"/>
    <col min="92" max="92" width="6.5546875" bestFit="1" customWidth="1"/>
    <col min="93" max="93" width="2.88671875" bestFit="1" customWidth="1"/>
    <col min="94" max="94" width="6.44140625" bestFit="1" customWidth="1"/>
    <col min="95" max="95" width="7.109375" bestFit="1" customWidth="1"/>
    <col min="96" max="96" width="6.5546875" bestFit="1" customWidth="1"/>
    <col min="97" max="97" width="2.88671875" bestFit="1" customWidth="1"/>
    <col min="98" max="98" width="6.6640625" customWidth="1"/>
    <col min="99" max="99" width="4.6640625" bestFit="1" customWidth="1"/>
    <col min="100" max="100" width="7.88671875" bestFit="1" customWidth="1"/>
    <col min="101" max="101" width="6.88671875" bestFit="1" customWidth="1"/>
    <col min="102" max="102" width="6.5546875" bestFit="1" customWidth="1"/>
    <col min="103" max="103" width="4.6640625" bestFit="1" customWidth="1"/>
    <col min="104" max="104" width="8.6640625" bestFit="1" customWidth="1"/>
    <col min="105" max="105" width="7.109375" bestFit="1" customWidth="1"/>
    <col min="106" max="106" width="6.5546875" bestFit="1" customWidth="1"/>
    <col min="107" max="107" width="4.44140625" customWidth="1"/>
    <col min="108" max="108" width="7.109375" bestFit="1" customWidth="1"/>
    <col min="109" max="109" width="6.5546875" bestFit="1" customWidth="1"/>
    <col min="110" max="110" width="3.5546875" bestFit="1" customWidth="1"/>
    <col min="111" max="111" width="7.109375" bestFit="1" customWidth="1"/>
    <col min="112" max="112" width="6.5546875" bestFit="1" customWidth="1"/>
    <col min="113" max="113" width="2.88671875" bestFit="1" customWidth="1"/>
    <col min="114" max="114" width="7.109375" bestFit="1" customWidth="1"/>
    <col min="115" max="115" width="6.5546875" bestFit="1" customWidth="1"/>
    <col min="116" max="116" width="2.88671875" bestFit="1" customWidth="1"/>
    <col min="117" max="117" width="7.33203125" customWidth="1"/>
    <col min="118" max="118" width="6.5546875" bestFit="1" customWidth="1"/>
    <col min="119" max="119" width="4.5546875" customWidth="1"/>
    <col min="120" max="120" width="7.109375" bestFit="1" customWidth="1"/>
    <col min="121" max="121" width="6.5546875" bestFit="1" customWidth="1"/>
    <col min="122" max="122" width="2.88671875" bestFit="1" customWidth="1"/>
    <col min="123" max="123" width="7.109375" bestFit="1" customWidth="1"/>
    <col min="124" max="124" width="6.5546875" bestFit="1" customWidth="1"/>
    <col min="125" max="125" width="2.88671875" bestFit="1" customWidth="1"/>
    <col min="126" max="126" width="7.109375" bestFit="1" customWidth="1"/>
    <col min="127" max="127" width="6.5546875" bestFit="1" customWidth="1"/>
    <col min="128" max="128" width="2.88671875" bestFit="1" customWidth="1"/>
    <col min="129" max="129" width="7.33203125" bestFit="1" customWidth="1"/>
    <col min="130" max="130" width="5.5546875" bestFit="1" customWidth="1"/>
    <col min="131" max="131" width="7.44140625" bestFit="1" customWidth="1"/>
    <col min="132" max="132" width="7.33203125" bestFit="1" customWidth="1"/>
    <col min="133" max="133" width="5.5546875" bestFit="1" customWidth="1"/>
    <col min="134" max="134" width="7.44140625" bestFit="1" customWidth="1"/>
    <col min="135" max="135" width="7.33203125" bestFit="1" customWidth="1"/>
    <col min="136" max="136" width="5.5546875" bestFit="1" customWidth="1"/>
    <col min="137" max="137" width="7.44140625" bestFit="1" customWidth="1"/>
    <col min="138" max="138" width="7.33203125" bestFit="1" customWidth="1"/>
    <col min="139" max="139" width="5.5546875" bestFit="1" customWidth="1"/>
    <col min="140" max="140" width="7.44140625" bestFit="1" customWidth="1"/>
    <col min="141" max="141" width="9.88671875" customWidth="1"/>
    <col min="142" max="142" width="6.88671875" bestFit="1" customWidth="1"/>
    <col min="143" max="143" width="10.33203125" bestFit="1" customWidth="1"/>
    <col min="144" max="144" width="7.88671875" bestFit="1" customWidth="1"/>
    <col min="145" max="145" width="6.33203125" bestFit="1" customWidth="1"/>
    <col min="146" max="146" width="4" bestFit="1" customWidth="1"/>
    <col min="147" max="147" width="10" customWidth="1"/>
    <col min="148" max="148" width="6.88671875" bestFit="1" customWidth="1"/>
    <col min="149" max="149" width="10.33203125" bestFit="1" customWidth="1"/>
    <col min="150" max="150" width="7.88671875" bestFit="1" customWidth="1"/>
    <col min="151" max="151" width="6.33203125" bestFit="1" customWidth="1"/>
    <col min="152" max="152" width="4" bestFit="1" customWidth="1"/>
    <col min="153" max="153" width="10" customWidth="1"/>
    <col min="154" max="154" width="6.88671875" bestFit="1" customWidth="1"/>
    <col min="155" max="155" width="10.33203125" bestFit="1" customWidth="1"/>
    <col min="156" max="156" width="7.88671875" bestFit="1" customWidth="1"/>
    <col min="157" max="157" width="6.33203125" bestFit="1" customWidth="1"/>
    <col min="158" max="158" width="4" bestFit="1" customWidth="1"/>
    <col min="159" max="159" width="10" bestFit="1" customWidth="1"/>
    <col min="160" max="160" width="6.88671875" bestFit="1" customWidth="1"/>
    <col min="161" max="161" width="10.33203125" bestFit="1" customWidth="1"/>
    <col min="162" max="162" width="7.88671875" bestFit="1" customWidth="1"/>
    <col min="163" max="163" width="6.33203125" bestFit="1" customWidth="1"/>
    <col min="164" max="164" width="4" bestFit="1" customWidth="1"/>
    <col min="165" max="165" width="10" bestFit="1" customWidth="1"/>
    <col min="166" max="166" width="6.88671875" bestFit="1" customWidth="1"/>
    <col min="167" max="167" width="10.33203125" bestFit="1" customWidth="1"/>
    <col min="168" max="168" width="7.88671875" bestFit="1" customWidth="1"/>
    <col min="169" max="169" width="6.33203125" bestFit="1" customWidth="1"/>
    <col min="170" max="170" width="4" bestFit="1" customWidth="1"/>
    <col min="171" max="171" width="8.88671875" customWidth="1"/>
    <col min="172" max="172" width="9.109375" bestFit="1" customWidth="1"/>
    <col min="173" max="173" width="9.6640625" bestFit="1" customWidth="1"/>
    <col min="174" max="174" width="7.33203125" bestFit="1" customWidth="1"/>
    <col min="175" max="175" width="7.5546875" bestFit="1" customWidth="1"/>
    <col min="176" max="176" width="8.109375" bestFit="1" customWidth="1"/>
    <col min="177" max="177" width="6.33203125" bestFit="1" customWidth="1"/>
    <col min="178" max="178" width="6.5546875" bestFit="1" customWidth="1"/>
    <col min="179" max="179" width="7.109375" bestFit="1" customWidth="1"/>
    <col min="180" max="180" width="8.5546875" bestFit="1" customWidth="1"/>
    <col min="181" max="181" width="8.88671875" bestFit="1" customWidth="1"/>
    <col min="182" max="182" width="9.33203125" bestFit="1" customWidth="1"/>
    <col min="183" max="183" width="10.6640625" bestFit="1" customWidth="1"/>
    <col min="184" max="184" width="11" bestFit="1" customWidth="1"/>
    <col min="185" max="185" width="11.44140625" bestFit="1" customWidth="1"/>
    <col min="186" max="186" width="6" bestFit="1" customWidth="1"/>
    <col min="187" max="187" width="6.33203125" bestFit="1" customWidth="1"/>
    <col min="188" max="188" width="6.6640625" bestFit="1" customWidth="1"/>
    <col min="189" max="191" width="10.6640625" bestFit="1" customWidth="1"/>
  </cols>
  <sheetData>
    <row r="1" spans="1:198" s="1" customFormat="1" ht="25.5" customHeight="1" x14ac:dyDescent="0.3">
      <c r="A1" s="281" t="s">
        <v>2</v>
      </c>
      <c r="B1" s="281" t="s">
        <v>189</v>
      </c>
      <c r="C1" s="281" t="s">
        <v>181</v>
      </c>
      <c r="D1" s="281" t="s">
        <v>111</v>
      </c>
      <c r="E1" s="281" t="s">
        <v>112</v>
      </c>
      <c r="F1" s="281" t="s">
        <v>113</v>
      </c>
      <c r="G1" s="281" t="s">
        <v>114</v>
      </c>
      <c r="H1" s="281" t="s">
        <v>182</v>
      </c>
      <c r="I1" s="281" t="s">
        <v>115</v>
      </c>
      <c r="J1" s="281" t="s">
        <v>3</v>
      </c>
      <c r="K1" s="281" t="s">
        <v>183</v>
      </c>
      <c r="L1" s="281" t="s">
        <v>184</v>
      </c>
      <c r="M1" s="281" t="s">
        <v>185</v>
      </c>
      <c r="N1" s="281" t="s">
        <v>4</v>
      </c>
      <c r="O1" s="281" t="s">
        <v>186</v>
      </c>
      <c r="P1" s="281" t="s">
        <v>6</v>
      </c>
      <c r="Q1" s="281" t="s">
        <v>187</v>
      </c>
      <c r="R1" s="281" t="s">
        <v>188</v>
      </c>
      <c r="S1" s="281" t="s">
        <v>230</v>
      </c>
      <c r="T1" s="281" t="s">
        <v>231</v>
      </c>
      <c r="U1" s="281" t="s">
        <v>190</v>
      </c>
      <c r="V1" s="281" t="s">
        <v>191</v>
      </c>
      <c r="W1" s="281" t="s">
        <v>192</v>
      </c>
      <c r="X1" s="6" t="s">
        <v>10</v>
      </c>
      <c r="Y1" s="288" t="s">
        <v>12</v>
      </c>
      <c r="Z1" s="293" t="s">
        <v>201</v>
      </c>
      <c r="AA1" s="293"/>
      <c r="AB1" s="293"/>
      <c r="AC1" s="293" t="s">
        <v>202</v>
      </c>
      <c r="AD1" s="293"/>
      <c r="AE1" s="293"/>
      <c r="AF1" s="293" t="s">
        <v>203</v>
      </c>
      <c r="AG1" s="293"/>
      <c r="AH1" s="293"/>
      <c r="AI1" s="289" t="s">
        <v>204</v>
      </c>
      <c r="AJ1" s="289"/>
      <c r="AK1" s="289"/>
      <c r="AL1" s="289" t="s">
        <v>205</v>
      </c>
      <c r="AM1" s="289"/>
      <c r="AN1" s="289"/>
      <c r="AO1" s="281" t="s">
        <v>206</v>
      </c>
      <c r="AP1" s="281"/>
      <c r="AQ1" s="281"/>
      <c r="AR1" s="281" t="s">
        <v>207</v>
      </c>
      <c r="AS1" s="281"/>
      <c r="AT1" s="281"/>
      <c r="AU1" s="281" t="s">
        <v>208</v>
      </c>
      <c r="AV1" s="281"/>
      <c r="AW1" s="281"/>
      <c r="AX1" s="289" t="s">
        <v>209</v>
      </c>
      <c r="AY1" s="289"/>
      <c r="AZ1" s="289"/>
      <c r="BA1" s="289" t="s">
        <v>210</v>
      </c>
      <c r="BB1" s="289"/>
      <c r="BC1" s="289"/>
      <c r="BD1" s="285" t="s">
        <v>28</v>
      </c>
      <c r="BE1" s="286"/>
      <c r="BF1" s="286"/>
      <c r="BG1" s="286"/>
      <c r="BH1" s="286"/>
      <c r="BI1" s="286"/>
      <c r="BJ1" s="287"/>
      <c r="BK1" s="285" t="s">
        <v>36</v>
      </c>
      <c r="BL1" s="286"/>
      <c r="BM1" s="286"/>
      <c r="BN1" s="287"/>
      <c r="BO1" s="281" t="s">
        <v>219</v>
      </c>
      <c r="BP1" s="281"/>
      <c r="BQ1" s="281"/>
      <c r="BR1" s="281"/>
      <c r="BS1" s="281"/>
      <c r="BT1" s="284" t="s">
        <v>152</v>
      </c>
      <c r="BU1" s="284"/>
      <c r="BV1" s="284"/>
      <c r="BW1" s="284"/>
      <c r="BX1" s="284"/>
      <c r="BY1" s="284"/>
      <c r="BZ1" s="288" t="s">
        <v>157</v>
      </c>
      <c r="CA1" s="288"/>
      <c r="CB1" s="288"/>
      <c r="CC1" s="288"/>
      <c r="CD1" s="282" t="s">
        <v>156</v>
      </c>
      <c r="CE1" s="283"/>
      <c r="CF1" s="283"/>
      <c r="CG1" s="283"/>
      <c r="CH1" s="284" t="s">
        <v>159</v>
      </c>
      <c r="CI1" s="284"/>
      <c r="CJ1" s="284"/>
      <c r="CK1" s="284"/>
      <c r="CL1" s="284" t="s">
        <v>158</v>
      </c>
      <c r="CM1" s="284"/>
      <c r="CN1" s="284"/>
      <c r="CO1" s="284"/>
      <c r="CP1" s="282" t="s">
        <v>26</v>
      </c>
      <c r="CQ1" s="283"/>
      <c r="CR1" s="283"/>
      <c r="CS1" s="283"/>
      <c r="CT1" s="284" t="s">
        <v>239</v>
      </c>
      <c r="CU1" s="284"/>
      <c r="CV1" s="284"/>
      <c r="CW1" s="284"/>
      <c r="CX1" s="284"/>
      <c r="CY1" s="284"/>
      <c r="CZ1" s="284"/>
      <c r="DA1" s="284" t="s">
        <v>241</v>
      </c>
      <c r="DB1" s="284"/>
      <c r="DC1" s="284"/>
      <c r="DD1" s="284" t="s">
        <v>242</v>
      </c>
      <c r="DE1" s="284"/>
      <c r="DF1" s="284"/>
      <c r="DG1" s="284" t="s">
        <v>243</v>
      </c>
      <c r="DH1" s="284"/>
      <c r="DI1" s="284"/>
      <c r="DJ1" s="284" t="s">
        <v>244</v>
      </c>
      <c r="DK1" s="284"/>
      <c r="DL1" s="284"/>
      <c r="DM1" s="284" t="s">
        <v>245</v>
      </c>
      <c r="DN1" s="284"/>
      <c r="DO1" s="284"/>
      <c r="DP1" s="284" t="s">
        <v>246</v>
      </c>
      <c r="DQ1" s="284"/>
      <c r="DR1" s="284"/>
      <c r="DS1" s="284" t="s">
        <v>247</v>
      </c>
      <c r="DT1" s="284"/>
      <c r="DU1" s="284"/>
      <c r="DV1" s="284" t="s">
        <v>248</v>
      </c>
      <c r="DW1" s="284"/>
      <c r="DX1" s="284"/>
      <c r="DY1" s="284" t="s">
        <v>249</v>
      </c>
      <c r="DZ1" s="284"/>
      <c r="EA1" s="284"/>
      <c r="EB1" s="285" t="s">
        <v>250</v>
      </c>
      <c r="EC1" s="286"/>
      <c r="ED1" s="287"/>
      <c r="EE1" s="284" t="s">
        <v>251</v>
      </c>
      <c r="EF1" s="284"/>
      <c r="EG1" s="284"/>
      <c r="EH1" s="285" t="s">
        <v>252</v>
      </c>
      <c r="EI1" s="286"/>
      <c r="EJ1" s="287"/>
      <c r="EK1" s="281" t="s">
        <v>255</v>
      </c>
      <c r="EL1" s="281"/>
      <c r="EM1" s="281"/>
      <c r="EN1" s="281"/>
      <c r="EO1" s="281"/>
      <c r="EP1" s="281"/>
      <c r="EQ1" s="281" t="s">
        <v>256</v>
      </c>
      <c r="ER1" s="281"/>
      <c r="ES1" s="281"/>
      <c r="ET1" s="281"/>
      <c r="EU1" s="281"/>
      <c r="EV1" s="281"/>
      <c r="EW1" s="281" t="s">
        <v>257</v>
      </c>
      <c r="EX1" s="281"/>
      <c r="EY1" s="281"/>
      <c r="EZ1" s="281"/>
      <c r="FA1" s="281"/>
      <c r="FB1" s="281"/>
      <c r="FC1" s="281" t="s">
        <v>258</v>
      </c>
      <c r="FD1" s="281"/>
      <c r="FE1" s="281"/>
      <c r="FF1" s="281"/>
      <c r="FG1" s="281"/>
      <c r="FH1" s="281"/>
      <c r="FI1" s="281" t="s">
        <v>259</v>
      </c>
      <c r="FJ1" s="281"/>
      <c r="FK1" s="281"/>
      <c r="FL1" s="281"/>
      <c r="FM1" s="281"/>
      <c r="FN1" s="281"/>
      <c r="FO1" s="282" t="s">
        <v>260</v>
      </c>
      <c r="FP1" s="283"/>
      <c r="FQ1" s="283"/>
      <c r="FR1" s="283"/>
      <c r="FS1" s="283"/>
      <c r="FT1" s="283"/>
      <c r="FU1" s="283"/>
      <c r="FV1" s="283"/>
      <c r="FW1" s="283"/>
      <c r="FX1" s="283"/>
      <c r="FY1" s="283"/>
      <c r="FZ1" s="283"/>
      <c r="GA1" s="283"/>
      <c r="GB1" s="283"/>
      <c r="GC1" s="283"/>
      <c r="GD1" s="283"/>
      <c r="GE1" s="283"/>
      <c r="GF1" s="283"/>
      <c r="GG1" s="283"/>
      <c r="GJ1" s="281" t="s">
        <v>331</v>
      </c>
      <c r="GK1" s="281" t="s">
        <v>329</v>
      </c>
      <c r="GL1" s="281" t="s">
        <v>332</v>
      </c>
      <c r="GM1" s="281" t="s">
        <v>333</v>
      </c>
      <c r="GN1" s="281" t="s">
        <v>40</v>
      </c>
      <c r="GO1" s="281"/>
      <c r="GP1" s="281"/>
    </row>
    <row r="2" spans="1:198" s="4" customFormat="1" ht="20.399999999999999" x14ac:dyDescent="0.2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" t="s">
        <v>119</v>
      </c>
      <c r="Y2" s="292"/>
      <c r="Z2" s="188" t="s">
        <v>193</v>
      </c>
      <c r="AA2" s="188" t="s">
        <v>194</v>
      </c>
      <c r="AB2" s="189" t="s">
        <v>195</v>
      </c>
      <c r="AC2" s="188" t="s">
        <v>193</v>
      </c>
      <c r="AD2" s="188" t="s">
        <v>194</v>
      </c>
      <c r="AE2" s="189" t="s">
        <v>195</v>
      </c>
      <c r="AF2" s="188" t="s">
        <v>193</v>
      </c>
      <c r="AG2" s="188" t="s">
        <v>194</v>
      </c>
      <c r="AH2" s="189" t="s">
        <v>195</v>
      </c>
      <c r="AI2" s="190" t="s">
        <v>193</v>
      </c>
      <c r="AJ2" s="190" t="s">
        <v>194</v>
      </c>
      <c r="AK2" s="191" t="s">
        <v>195</v>
      </c>
      <c r="AL2" s="190" t="s">
        <v>193</v>
      </c>
      <c r="AM2" s="190" t="s">
        <v>194</v>
      </c>
      <c r="AN2" s="191" t="s">
        <v>195</v>
      </c>
      <c r="AO2" s="2" t="s">
        <v>193</v>
      </c>
      <c r="AP2" s="2" t="s">
        <v>194</v>
      </c>
      <c r="AQ2" s="3" t="s">
        <v>195</v>
      </c>
      <c r="AR2" s="2" t="s">
        <v>193</v>
      </c>
      <c r="AS2" s="2" t="s">
        <v>194</v>
      </c>
      <c r="AT2" s="3" t="s">
        <v>195</v>
      </c>
      <c r="AU2" s="2" t="s">
        <v>193</v>
      </c>
      <c r="AV2" s="2" t="s">
        <v>194</v>
      </c>
      <c r="AW2" s="3" t="s">
        <v>195</v>
      </c>
      <c r="AX2" s="190" t="s">
        <v>193</v>
      </c>
      <c r="AY2" s="190" t="s">
        <v>194</v>
      </c>
      <c r="AZ2" s="191" t="s">
        <v>195</v>
      </c>
      <c r="BA2" s="190" t="s">
        <v>193</v>
      </c>
      <c r="BB2" s="190" t="s">
        <v>194</v>
      </c>
      <c r="BC2" s="191" t="s">
        <v>195</v>
      </c>
      <c r="BD2" s="3" t="s">
        <v>211</v>
      </c>
      <c r="BE2" s="3" t="s">
        <v>212</v>
      </c>
      <c r="BF2" s="3" t="s">
        <v>213</v>
      </c>
      <c r="BG2" s="3" t="s">
        <v>214</v>
      </c>
      <c r="BH2" s="3" t="s">
        <v>215</v>
      </c>
      <c r="BI2" s="3" t="s">
        <v>216</v>
      </c>
      <c r="BJ2" s="3" t="s">
        <v>217</v>
      </c>
      <c r="BK2" s="3" t="s">
        <v>122</v>
      </c>
      <c r="BL2" s="3" t="s">
        <v>218</v>
      </c>
      <c r="BM2" s="3" t="s">
        <v>124</v>
      </c>
      <c r="BN2" s="3" t="s">
        <v>26</v>
      </c>
      <c r="BO2" s="3" t="s">
        <v>29</v>
      </c>
      <c r="BP2" s="3" t="s">
        <v>125</v>
      </c>
      <c r="BQ2" s="3" t="s">
        <v>5</v>
      </c>
      <c r="BR2" s="3" t="s">
        <v>126</v>
      </c>
      <c r="BS2" s="9" t="s">
        <v>26</v>
      </c>
      <c r="BT2" s="9" t="s">
        <v>234</v>
      </c>
      <c r="BU2" s="9" t="s">
        <v>235</v>
      </c>
      <c r="BV2" s="9" t="s">
        <v>236</v>
      </c>
      <c r="BW2" s="9" t="s">
        <v>158</v>
      </c>
      <c r="BX2" s="9" t="s">
        <v>237</v>
      </c>
      <c r="BY2" s="9" t="s">
        <v>238</v>
      </c>
      <c r="BZ2" s="2" t="s">
        <v>89</v>
      </c>
      <c r="CA2" s="2" t="s">
        <v>18</v>
      </c>
      <c r="CB2" s="2" t="s">
        <v>19</v>
      </c>
      <c r="CC2" s="2" t="s">
        <v>195</v>
      </c>
      <c r="CD2" s="2" t="s">
        <v>89</v>
      </c>
      <c r="CE2" s="2" t="s">
        <v>18</v>
      </c>
      <c r="CF2" s="2" t="s">
        <v>19</v>
      </c>
      <c r="CG2" s="2" t="s">
        <v>195</v>
      </c>
      <c r="CH2" s="2" t="s">
        <v>89</v>
      </c>
      <c r="CI2" s="2" t="s">
        <v>18</v>
      </c>
      <c r="CJ2" s="2" t="s">
        <v>19</v>
      </c>
      <c r="CK2" s="2" t="s">
        <v>195</v>
      </c>
      <c r="CL2" s="2" t="s">
        <v>89</v>
      </c>
      <c r="CM2" s="2" t="s">
        <v>18</v>
      </c>
      <c r="CN2" s="2" t="s">
        <v>19</v>
      </c>
      <c r="CO2" s="2" t="s">
        <v>195</v>
      </c>
      <c r="CP2" s="2" t="s">
        <v>89</v>
      </c>
      <c r="CQ2" s="2" t="s">
        <v>18</v>
      </c>
      <c r="CR2" s="2" t="s">
        <v>19</v>
      </c>
      <c r="CS2" s="2" t="s">
        <v>195</v>
      </c>
      <c r="CT2" s="2" t="s">
        <v>160</v>
      </c>
      <c r="CU2" s="2" t="s">
        <v>54</v>
      </c>
      <c r="CV2" s="2" t="s">
        <v>52</v>
      </c>
      <c r="CW2" s="2" t="s">
        <v>161</v>
      </c>
      <c r="CX2" s="2" t="s">
        <v>162</v>
      </c>
      <c r="CY2" s="2" t="s">
        <v>85</v>
      </c>
      <c r="CZ2" s="2" t="s">
        <v>240</v>
      </c>
      <c r="DA2" s="2" t="s">
        <v>18</v>
      </c>
      <c r="DB2" s="2" t="s">
        <v>19</v>
      </c>
      <c r="DC2" s="2" t="s">
        <v>195</v>
      </c>
      <c r="DD2" s="2" t="s">
        <v>18</v>
      </c>
      <c r="DE2" s="2" t="s">
        <v>19</v>
      </c>
      <c r="DF2" s="2" t="s">
        <v>195</v>
      </c>
      <c r="DG2" s="2" t="s">
        <v>18</v>
      </c>
      <c r="DH2" s="2" t="s">
        <v>19</v>
      </c>
      <c r="DI2" s="2" t="s">
        <v>195</v>
      </c>
      <c r="DJ2" s="2" t="s">
        <v>18</v>
      </c>
      <c r="DK2" s="2" t="s">
        <v>19</v>
      </c>
      <c r="DL2" s="2" t="s">
        <v>195</v>
      </c>
      <c r="DM2" s="2" t="s">
        <v>18</v>
      </c>
      <c r="DN2" s="2" t="s">
        <v>19</v>
      </c>
      <c r="DO2" s="2" t="s">
        <v>195</v>
      </c>
      <c r="DP2" s="2" t="s">
        <v>18</v>
      </c>
      <c r="DQ2" s="2" t="s">
        <v>19</v>
      </c>
      <c r="DR2" s="2" t="s">
        <v>195</v>
      </c>
      <c r="DS2" s="2" t="s">
        <v>18</v>
      </c>
      <c r="DT2" s="2" t="s">
        <v>19</v>
      </c>
      <c r="DU2" s="2" t="s">
        <v>195</v>
      </c>
      <c r="DV2" s="2" t="s">
        <v>18</v>
      </c>
      <c r="DW2" s="2" t="s">
        <v>19</v>
      </c>
      <c r="DX2" s="2" t="s">
        <v>195</v>
      </c>
      <c r="DY2" s="2" t="s">
        <v>104</v>
      </c>
      <c r="DZ2" s="2" t="s">
        <v>165</v>
      </c>
      <c r="EA2" s="2" t="s">
        <v>166</v>
      </c>
      <c r="EB2" s="2" t="s">
        <v>104</v>
      </c>
      <c r="EC2" s="2" t="s">
        <v>165</v>
      </c>
      <c r="ED2" s="2" t="s">
        <v>166</v>
      </c>
      <c r="EE2" s="2" t="s">
        <v>104</v>
      </c>
      <c r="EF2" s="2" t="s">
        <v>165</v>
      </c>
      <c r="EG2" s="2" t="s">
        <v>166</v>
      </c>
      <c r="EH2" s="2" t="s">
        <v>104</v>
      </c>
      <c r="EI2" s="2" t="s">
        <v>165</v>
      </c>
      <c r="EJ2" s="2" t="s">
        <v>166</v>
      </c>
      <c r="EK2" s="9" t="s">
        <v>254</v>
      </c>
      <c r="EL2" s="9" t="s">
        <v>175</v>
      </c>
      <c r="EM2" s="9" t="s">
        <v>176</v>
      </c>
      <c r="EN2" s="9" t="s">
        <v>177</v>
      </c>
      <c r="EO2" s="9" t="s">
        <v>178</v>
      </c>
      <c r="EP2" s="9" t="s">
        <v>105</v>
      </c>
      <c r="EQ2" s="9" t="s">
        <v>254</v>
      </c>
      <c r="ER2" s="9" t="s">
        <v>175</v>
      </c>
      <c r="ES2" s="9" t="s">
        <v>176</v>
      </c>
      <c r="ET2" s="9" t="s">
        <v>177</v>
      </c>
      <c r="EU2" s="9" t="s">
        <v>178</v>
      </c>
      <c r="EV2" s="9" t="s">
        <v>105</v>
      </c>
      <c r="EW2" s="9" t="s">
        <v>254</v>
      </c>
      <c r="EX2" s="9" t="s">
        <v>175</v>
      </c>
      <c r="EY2" s="9" t="s">
        <v>176</v>
      </c>
      <c r="EZ2" s="9" t="s">
        <v>177</v>
      </c>
      <c r="FA2" s="9" t="s">
        <v>178</v>
      </c>
      <c r="FB2" s="9" t="s">
        <v>105</v>
      </c>
      <c r="FC2" s="9" t="s">
        <v>254</v>
      </c>
      <c r="FD2" s="9" t="s">
        <v>175</v>
      </c>
      <c r="FE2" s="9" t="s">
        <v>176</v>
      </c>
      <c r="FF2" s="9" t="s">
        <v>177</v>
      </c>
      <c r="FG2" s="9" t="s">
        <v>178</v>
      </c>
      <c r="FH2" s="9" t="s">
        <v>105</v>
      </c>
      <c r="FI2" s="9" t="s">
        <v>254</v>
      </c>
      <c r="FJ2" s="9" t="s">
        <v>175</v>
      </c>
      <c r="FK2" s="9" t="s">
        <v>176</v>
      </c>
      <c r="FL2" s="9" t="s">
        <v>177</v>
      </c>
      <c r="FM2" s="9" t="s">
        <v>178</v>
      </c>
      <c r="FN2" s="9" t="s">
        <v>105</v>
      </c>
      <c r="FO2" s="9" t="s">
        <v>261</v>
      </c>
      <c r="FP2" s="9" t="s">
        <v>262</v>
      </c>
      <c r="FQ2" s="9" t="s">
        <v>263</v>
      </c>
      <c r="FR2" s="9" t="s">
        <v>264</v>
      </c>
      <c r="FS2" s="9" t="s">
        <v>265</v>
      </c>
      <c r="FT2" s="9" t="s">
        <v>266</v>
      </c>
      <c r="FU2" s="9" t="s">
        <v>267</v>
      </c>
      <c r="FV2" s="9" t="s">
        <v>268</v>
      </c>
      <c r="FW2" s="9" t="s">
        <v>269</v>
      </c>
      <c r="FX2" s="9" t="s">
        <v>270</v>
      </c>
      <c r="FY2" s="9" t="s">
        <v>271</v>
      </c>
      <c r="FZ2" s="9" t="s">
        <v>272</v>
      </c>
      <c r="GA2" s="9" t="s">
        <v>273</v>
      </c>
      <c r="GB2" s="9" t="s">
        <v>274</v>
      </c>
      <c r="GC2" s="9" t="s">
        <v>275</v>
      </c>
      <c r="GD2" s="9" t="s">
        <v>276</v>
      </c>
      <c r="GE2" s="9" t="s">
        <v>277</v>
      </c>
      <c r="GF2" s="9" t="s">
        <v>278</v>
      </c>
      <c r="GG2" s="9" t="s">
        <v>279</v>
      </c>
      <c r="GH2" s="9" t="s">
        <v>280</v>
      </c>
      <c r="GI2" s="9" t="s">
        <v>281</v>
      </c>
      <c r="GJ2" s="281"/>
      <c r="GK2" s="281"/>
      <c r="GL2" s="281"/>
      <c r="GM2" s="281"/>
      <c r="GN2" s="10" t="s">
        <v>41</v>
      </c>
      <c r="GO2" s="11" t="s">
        <v>42</v>
      </c>
      <c r="GP2" s="11" t="s">
        <v>43</v>
      </c>
    </row>
    <row r="3" spans="1:198" s="4" customFormat="1" ht="10.199999999999999" x14ac:dyDescent="0.2">
      <c r="A3" s="295" t="s">
        <v>196</v>
      </c>
      <c r="B3" s="295" t="s">
        <v>197</v>
      </c>
      <c r="C3" s="295" t="s">
        <v>226</v>
      </c>
      <c r="D3" s="295" t="s">
        <v>283</v>
      </c>
      <c r="E3" s="295" t="s">
        <v>199</v>
      </c>
      <c r="F3" s="295" t="s">
        <v>282</v>
      </c>
      <c r="G3" s="295" t="s">
        <v>232</v>
      </c>
      <c r="H3" s="295" t="s">
        <v>199</v>
      </c>
      <c r="I3" s="296" t="s">
        <v>253</v>
      </c>
      <c r="J3" s="295">
        <v>52740</v>
      </c>
      <c r="K3" s="295" t="s">
        <v>227</v>
      </c>
      <c r="L3" s="295" t="s">
        <v>228</v>
      </c>
      <c r="M3" s="295" t="s">
        <v>200</v>
      </c>
      <c r="N3" s="295">
        <v>7282847310</v>
      </c>
      <c r="O3" s="295">
        <v>160</v>
      </c>
      <c r="P3" s="295">
        <v>7282847310</v>
      </c>
      <c r="Q3" s="295">
        <v>122</v>
      </c>
      <c r="R3" s="295" t="s">
        <v>229</v>
      </c>
      <c r="S3" s="295" t="s">
        <v>233</v>
      </c>
      <c r="T3" s="295" t="s">
        <v>382</v>
      </c>
      <c r="U3" s="295" t="s">
        <v>337</v>
      </c>
      <c r="V3" s="297" t="s">
        <v>198</v>
      </c>
      <c r="W3" s="297" t="s">
        <v>334</v>
      </c>
      <c r="X3" s="295">
        <v>29</v>
      </c>
      <c r="Y3" s="295">
        <v>11775</v>
      </c>
      <c r="Z3" s="4">
        <v>25</v>
      </c>
      <c r="AA3" s="4">
        <v>27</v>
      </c>
      <c r="AB3" s="4">
        <v>0</v>
      </c>
      <c r="AC3" s="4">
        <v>44</v>
      </c>
      <c r="AD3" s="4">
        <v>81</v>
      </c>
      <c r="AE3" s="4">
        <v>1</v>
      </c>
      <c r="AF3" s="4">
        <v>33</v>
      </c>
      <c r="AG3" s="4">
        <v>24</v>
      </c>
      <c r="AH3" s="4">
        <v>2</v>
      </c>
      <c r="AI3" s="4">
        <v>14</v>
      </c>
      <c r="AJ3" s="4">
        <v>15</v>
      </c>
      <c r="AK3" s="4">
        <v>0</v>
      </c>
      <c r="AL3" s="4">
        <v>440</v>
      </c>
      <c r="AM3" s="4">
        <v>431</v>
      </c>
      <c r="AN3" s="4">
        <v>15</v>
      </c>
      <c r="AO3" s="4">
        <v>60</v>
      </c>
      <c r="AP3" s="4">
        <v>24</v>
      </c>
      <c r="AQ3" s="4" t="s">
        <v>199</v>
      </c>
      <c r="AR3" s="4" t="s">
        <v>199</v>
      </c>
      <c r="AS3" s="4" t="s">
        <v>199</v>
      </c>
      <c r="AT3" s="4" t="s">
        <v>199</v>
      </c>
      <c r="AU3" s="4" t="s">
        <v>199</v>
      </c>
      <c r="AV3" s="4" t="s">
        <v>199</v>
      </c>
      <c r="AW3" s="4" t="s">
        <v>199</v>
      </c>
      <c r="AX3" s="4">
        <v>20</v>
      </c>
      <c r="AY3" s="4">
        <v>55</v>
      </c>
      <c r="AZ3" s="4">
        <v>2</v>
      </c>
      <c r="BA3" s="4">
        <v>29</v>
      </c>
      <c r="BB3" s="4">
        <v>21</v>
      </c>
      <c r="BC3" s="4">
        <v>2</v>
      </c>
      <c r="BD3" s="4" t="s">
        <v>199</v>
      </c>
      <c r="BE3" s="4" t="s">
        <v>199</v>
      </c>
      <c r="BF3" s="4" t="s">
        <v>199</v>
      </c>
      <c r="BG3" s="4" t="s">
        <v>199</v>
      </c>
      <c r="BH3" s="4" t="s">
        <v>199</v>
      </c>
      <c r="BI3" s="4" t="s">
        <v>199</v>
      </c>
      <c r="BJ3" s="4" t="s">
        <v>199</v>
      </c>
      <c r="BK3" s="198"/>
      <c r="BL3" s="198"/>
      <c r="BM3" s="198"/>
      <c r="BN3" s="198"/>
      <c r="BO3" s="199"/>
      <c r="BP3" s="198"/>
      <c r="BQ3" s="199"/>
      <c r="BR3" s="199"/>
      <c r="BS3" s="199"/>
      <c r="BT3" s="4">
        <v>197</v>
      </c>
      <c r="BU3" s="4">
        <v>0</v>
      </c>
      <c r="BV3" s="4">
        <v>2</v>
      </c>
      <c r="BW3" s="4">
        <v>50</v>
      </c>
      <c r="BX3" s="4">
        <v>62</v>
      </c>
      <c r="BY3" s="4">
        <v>11</v>
      </c>
      <c r="BZ3" s="4">
        <v>145</v>
      </c>
      <c r="CA3" s="4">
        <v>1275</v>
      </c>
      <c r="CB3" s="4">
        <v>1639</v>
      </c>
      <c r="CC3" s="4" t="s">
        <v>199</v>
      </c>
      <c r="CD3" s="4" t="s">
        <v>199</v>
      </c>
      <c r="CE3" s="4" t="s">
        <v>199</v>
      </c>
      <c r="CF3" s="4" t="s">
        <v>199</v>
      </c>
      <c r="CG3" s="4" t="s">
        <v>199</v>
      </c>
      <c r="CK3" s="4" t="s">
        <v>199</v>
      </c>
      <c r="CL3" s="4">
        <v>25</v>
      </c>
      <c r="CM3" s="4">
        <v>220</v>
      </c>
      <c r="CN3" s="4">
        <v>282</v>
      </c>
      <c r="CO3" s="4" t="s">
        <v>199</v>
      </c>
      <c r="CP3" s="4" t="s">
        <v>199</v>
      </c>
      <c r="CQ3" s="4" t="s">
        <v>199</v>
      </c>
      <c r="CR3" s="4" t="s">
        <v>199</v>
      </c>
      <c r="CS3" s="4" t="s">
        <v>199</v>
      </c>
      <c r="CT3" s="4" t="s">
        <v>199</v>
      </c>
      <c r="CU3" s="4" t="s">
        <v>199</v>
      </c>
      <c r="CV3" s="4" t="s">
        <v>199</v>
      </c>
      <c r="CW3" s="4" t="s">
        <v>199</v>
      </c>
      <c r="CX3" s="4" t="s">
        <v>199</v>
      </c>
      <c r="CY3" s="4" t="s">
        <v>199</v>
      </c>
      <c r="CZ3" s="4" t="s">
        <v>199</v>
      </c>
      <c r="DA3" s="4">
        <v>165</v>
      </c>
      <c r="DB3" s="4">
        <v>172</v>
      </c>
      <c r="DC3" s="4" t="s">
        <v>199</v>
      </c>
      <c r="DD3" s="4">
        <v>359</v>
      </c>
      <c r="DE3" s="4">
        <v>363</v>
      </c>
      <c r="DG3" s="4">
        <v>44</v>
      </c>
      <c r="DH3" s="4">
        <v>50</v>
      </c>
      <c r="DI3" s="4" t="s">
        <v>199</v>
      </c>
      <c r="DJ3" s="4">
        <v>3</v>
      </c>
      <c r="DK3" s="4">
        <v>3</v>
      </c>
      <c r="DL3" s="4" t="s">
        <v>199</v>
      </c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4">
        <v>0</v>
      </c>
      <c r="DZ3" s="4">
        <v>24</v>
      </c>
      <c r="EA3" s="4">
        <v>8</v>
      </c>
      <c r="EB3" s="4">
        <v>0</v>
      </c>
      <c r="EC3" s="4">
        <v>0</v>
      </c>
      <c r="ED3" s="4">
        <v>0</v>
      </c>
      <c r="EE3" s="4">
        <v>0</v>
      </c>
      <c r="EF3" s="4">
        <v>0</v>
      </c>
      <c r="EG3" s="4">
        <v>0</v>
      </c>
      <c r="EH3" s="4">
        <v>0</v>
      </c>
      <c r="EI3" s="4">
        <v>0</v>
      </c>
      <c r="EJ3" s="4">
        <v>0</v>
      </c>
      <c r="EK3" s="4">
        <v>3</v>
      </c>
      <c r="EL3" s="4">
        <v>2</v>
      </c>
      <c r="EM3" s="4">
        <v>16</v>
      </c>
      <c r="EN3" s="4">
        <v>2</v>
      </c>
      <c r="EO3" s="4">
        <v>16</v>
      </c>
      <c r="EP3" s="4">
        <v>2</v>
      </c>
      <c r="EQ3" s="4">
        <v>1</v>
      </c>
      <c r="ER3" s="4">
        <v>1</v>
      </c>
      <c r="ES3" s="4">
        <v>1</v>
      </c>
      <c r="ET3" s="4">
        <v>0</v>
      </c>
      <c r="EU3" s="4">
        <v>1</v>
      </c>
      <c r="EV3" s="4">
        <v>0</v>
      </c>
      <c r="EW3" s="4">
        <v>1</v>
      </c>
      <c r="EX3" s="4">
        <v>1</v>
      </c>
      <c r="EY3" s="4">
        <v>1</v>
      </c>
      <c r="EZ3" s="4">
        <v>0</v>
      </c>
      <c r="FA3" s="4">
        <v>2</v>
      </c>
      <c r="FB3" s="4">
        <v>0</v>
      </c>
      <c r="FC3" s="4">
        <v>1</v>
      </c>
      <c r="FD3" s="4">
        <v>0</v>
      </c>
      <c r="FE3" s="4">
        <v>0</v>
      </c>
      <c r="FF3" s="4">
        <v>0</v>
      </c>
      <c r="FG3" s="4">
        <v>0</v>
      </c>
      <c r="FH3" s="4">
        <v>0</v>
      </c>
      <c r="FI3" s="4">
        <v>0</v>
      </c>
      <c r="FJ3" s="4">
        <v>0</v>
      </c>
      <c r="FK3" s="4">
        <v>0</v>
      </c>
      <c r="FL3" s="4">
        <v>0</v>
      </c>
      <c r="FM3" s="4">
        <v>0</v>
      </c>
      <c r="FN3" s="4">
        <v>0</v>
      </c>
      <c r="FO3" s="4">
        <v>4</v>
      </c>
      <c r="FP3" s="4">
        <v>4</v>
      </c>
      <c r="FQ3" s="4" t="s">
        <v>199</v>
      </c>
      <c r="FR3" s="4" t="s">
        <v>199</v>
      </c>
      <c r="FS3" s="4" t="s">
        <v>199</v>
      </c>
      <c r="FT3" s="4" t="s">
        <v>199</v>
      </c>
      <c r="FU3" s="4">
        <v>13</v>
      </c>
      <c r="FV3" s="4">
        <v>20</v>
      </c>
      <c r="FW3" s="4" t="s">
        <v>199</v>
      </c>
      <c r="FX3" s="4">
        <v>2</v>
      </c>
      <c r="FY3" s="4">
        <v>4</v>
      </c>
      <c r="FZ3" s="4" t="s">
        <v>199</v>
      </c>
      <c r="GA3" s="4">
        <v>8</v>
      </c>
      <c r="GB3" s="4">
        <v>14</v>
      </c>
      <c r="GC3" s="4" t="s">
        <v>199</v>
      </c>
      <c r="GD3" s="4">
        <v>7</v>
      </c>
      <c r="GE3" s="4">
        <v>6</v>
      </c>
      <c r="GF3" s="4" t="s">
        <v>199</v>
      </c>
      <c r="GG3" s="4">
        <v>17</v>
      </c>
      <c r="GH3" s="4">
        <v>24</v>
      </c>
      <c r="GI3" s="4" t="s">
        <v>199</v>
      </c>
      <c r="GJ3" s="4" t="s">
        <v>335</v>
      </c>
      <c r="GK3" s="4" t="s">
        <v>336</v>
      </c>
      <c r="GL3" s="4" t="s">
        <v>334</v>
      </c>
      <c r="GM3" s="4" t="s">
        <v>337</v>
      </c>
      <c r="GN3" s="4">
        <v>2014</v>
      </c>
      <c r="GO3" s="4">
        <v>9</v>
      </c>
      <c r="GP3" s="4">
        <v>30</v>
      </c>
    </row>
    <row r="4" spans="1:198" s="4" customFormat="1" ht="10.199999999999999" x14ac:dyDescent="0.2">
      <c r="V4" s="5"/>
      <c r="BD4" s="7"/>
      <c r="BE4" s="8"/>
      <c r="BF4" s="8"/>
      <c r="BG4" s="8"/>
      <c r="BH4" s="8"/>
      <c r="BI4" s="8"/>
      <c r="BJ4" s="8"/>
      <c r="BK4" s="7"/>
      <c r="BO4" s="183"/>
    </row>
    <row r="5" spans="1:198" s="4" customFormat="1" ht="10.199999999999999" x14ac:dyDescent="0.2">
      <c r="V5" s="5"/>
      <c r="Z5" s="290" t="s">
        <v>340</v>
      </c>
      <c r="AA5" s="290"/>
      <c r="AB5" s="290"/>
      <c r="AC5" s="290"/>
      <c r="AD5" s="290"/>
      <c r="AE5" s="290"/>
      <c r="AF5" s="290"/>
      <c r="AG5" s="290"/>
      <c r="AH5" s="290"/>
      <c r="BO5" s="183"/>
    </row>
    <row r="6" spans="1:198" s="4" customFormat="1" ht="10.199999999999999" x14ac:dyDescent="0.2">
      <c r="V6" s="5"/>
    </row>
    <row r="7" spans="1:198" s="4" customFormat="1" ht="10.199999999999999" x14ac:dyDescent="0.2">
      <c r="V7" s="5"/>
      <c r="AI7" s="291" t="s">
        <v>341</v>
      </c>
      <c r="AJ7" s="291"/>
      <c r="AK7" s="291"/>
      <c r="AL7" s="291"/>
      <c r="AM7" s="291"/>
      <c r="AN7" s="291"/>
      <c r="AX7" s="291" t="s">
        <v>341</v>
      </c>
      <c r="AY7" s="291"/>
      <c r="AZ7" s="291"/>
      <c r="BA7" s="291"/>
      <c r="BB7" s="291"/>
      <c r="BC7" s="291"/>
    </row>
    <row r="8" spans="1:198" s="4" customFormat="1" ht="10.199999999999999" x14ac:dyDescent="0.2">
      <c r="V8" s="5"/>
    </row>
    <row r="9" spans="1:198" s="4" customFormat="1" ht="11.25" x14ac:dyDescent="0.2">
      <c r="V9" s="5"/>
    </row>
    <row r="10" spans="1:198" s="4" customFormat="1" ht="11.25" x14ac:dyDescent="0.2">
      <c r="V10" s="5"/>
    </row>
    <row r="11" spans="1:198" s="4" customFormat="1" ht="11.25" x14ac:dyDescent="0.2">
      <c r="V11" s="5"/>
    </row>
    <row r="12" spans="1:198" s="4" customFormat="1" ht="11.25" x14ac:dyDescent="0.2">
      <c r="V12" s="5"/>
    </row>
    <row r="13" spans="1:198" s="4" customFormat="1" ht="11.25" x14ac:dyDescent="0.2">
      <c r="V13" s="5"/>
    </row>
    <row r="14" spans="1:198" s="4" customFormat="1" ht="11.25" x14ac:dyDescent="0.2">
      <c r="V14" s="5"/>
    </row>
    <row r="15" spans="1:198" s="4" customFormat="1" ht="11.25" x14ac:dyDescent="0.2">
      <c r="V15" s="5"/>
    </row>
    <row r="16" spans="1:198" s="4" customFormat="1" ht="11.25" x14ac:dyDescent="0.2">
      <c r="V16" s="5"/>
    </row>
    <row r="17" spans="22:23" s="4" customFormat="1" ht="11.25" x14ac:dyDescent="0.2">
      <c r="V17" s="5"/>
    </row>
    <row r="18" spans="22:23" s="4" customFormat="1" ht="11.25" x14ac:dyDescent="0.2">
      <c r="V18" s="5"/>
      <c r="W18" s="5"/>
    </row>
    <row r="19" spans="22:23" s="4" customFormat="1" ht="11.25" x14ac:dyDescent="0.2">
      <c r="V19" s="5"/>
    </row>
    <row r="20" spans="22:23" s="4" customFormat="1" ht="10.199999999999999" x14ac:dyDescent="0.2">
      <c r="V20" s="5"/>
    </row>
    <row r="21" spans="22:23" s="4" customFormat="1" ht="10.199999999999999" x14ac:dyDescent="0.2">
      <c r="V21" s="5"/>
    </row>
    <row r="22" spans="22:23" s="4" customFormat="1" ht="10.199999999999999" x14ac:dyDescent="0.2">
      <c r="V22" s="5"/>
    </row>
    <row r="23" spans="22:23" s="4" customFormat="1" ht="10.199999999999999" x14ac:dyDescent="0.2">
      <c r="V23" s="5"/>
    </row>
    <row r="24" spans="22:23" s="4" customFormat="1" ht="10.199999999999999" x14ac:dyDescent="0.2">
      <c r="V24" s="5"/>
    </row>
    <row r="25" spans="22:23" s="4" customFormat="1" ht="10.199999999999999" x14ac:dyDescent="0.2">
      <c r="V25" s="5"/>
    </row>
    <row r="26" spans="22:23" s="4" customFormat="1" ht="10.199999999999999" x14ac:dyDescent="0.2">
      <c r="V26" s="5"/>
    </row>
    <row r="27" spans="22:23" s="4" customFormat="1" ht="10.199999999999999" x14ac:dyDescent="0.2">
      <c r="V27" s="5"/>
    </row>
    <row r="28" spans="22:23" s="4" customFormat="1" ht="10.199999999999999" x14ac:dyDescent="0.2">
      <c r="V28" s="5"/>
    </row>
    <row r="29" spans="22:23" s="4" customFormat="1" ht="10.199999999999999" x14ac:dyDescent="0.2">
      <c r="V29" s="5"/>
    </row>
    <row r="30" spans="22:23" s="4" customFormat="1" ht="10.199999999999999" x14ac:dyDescent="0.2">
      <c r="V30" s="5"/>
    </row>
    <row r="31" spans="22:23" s="4" customFormat="1" ht="10.199999999999999" x14ac:dyDescent="0.2"/>
    <row r="32" spans="22:23" s="4" customFormat="1" ht="10.199999999999999" x14ac:dyDescent="0.2"/>
    <row r="33" s="4" customFormat="1" ht="10.199999999999999" x14ac:dyDescent="0.2"/>
    <row r="34" s="4" customFormat="1" ht="10.199999999999999" x14ac:dyDescent="0.2"/>
    <row r="35" s="4" customFormat="1" ht="10.199999999999999" x14ac:dyDescent="0.2"/>
    <row r="36" s="4" customFormat="1" ht="10.199999999999999" x14ac:dyDescent="0.2"/>
    <row r="37" s="4" customFormat="1" ht="10.199999999999999" x14ac:dyDescent="0.2"/>
  </sheetData>
  <mergeCells count="70">
    <mergeCell ref="Z5:AH5"/>
    <mergeCell ref="AI7:AN7"/>
    <mergeCell ref="AX7:BC7"/>
    <mergeCell ref="Y1:Y2"/>
    <mergeCell ref="BD1:BJ1"/>
    <mergeCell ref="Z1:AB1"/>
    <mergeCell ref="AC1:AE1"/>
    <mergeCell ref="AF1:AH1"/>
    <mergeCell ref="AI1:AK1"/>
    <mergeCell ref="AL1:AN1"/>
    <mergeCell ref="BK1:BN1"/>
    <mergeCell ref="EE1:EG1"/>
    <mergeCell ref="EH1:EJ1"/>
    <mergeCell ref="AO1:AQ1"/>
    <mergeCell ref="AR1:AT1"/>
    <mergeCell ref="AU1:AW1"/>
    <mergeCell ref="AX1:AZ1"/>
    <mergeCell ref="BA1:BC1"/>
    <mergeCell ref="EK1:EP1"/>
    <mergeCell ref="EQ1:EV1"/>
    <mergeCell ref="EW1:FB1"/>
    <mergeCell ref="BO1:BS1"/>
    <mergeCell ref="BZ1:CC1"/>
    <mergeCell ref="BT1:BY1"/>
    <mergeCell ref="DD1:DF1"/>
    <mergeCell ref="DG1:DI1"/>
    <mergeCell ref="R1:R2"/>
    <mergeCell ref="B1:B2"/>
    <mergeCell ref="U1:U2"/>
    <mergeCell ref="V1:V2"/>
    <mergeCell ref="W1:W2"/>
    <mergeCell ref="S1:S2"/>
    <mergeCell ref="T1:T2"/>
    <mergeCell ref="Q1:Q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E1:E2"/>
    <mergeCell ref="A1:A2"/>
    <mergeCell ref="C1:C2"/>
    <mergeCell ref="D1:D2"/>
    <mergeCell ref="FC1:FH1"/>
    <mergeCell ref="FI1:FN1"/>
    <mergeCell ref="FO1:GG1"/>
    <mergeCell ref="CD1:CG1"/>
    <mergeCell ref="CH1:CK1"/>
    <mergeCell ref="CL1:CO1"/>
    <mergeCell ref="CP1:CS1"/>
    <mergeCell ref="CT1:CZ1"/>
    <mergeCell ref="DA1:DC1"/>
    <mergeCell ref="DJ1:DL1"/>
    <mergeCell ref="DM1:DO1"/>
    <mergeCell ref="DP1:DR1"/>
    <mergeCell ref="DS1:DU1"/>
    <mergeCell ref="DV1:DX1"/>
    <mergeCell ref="DY1:EA1"/>
    <mergeCell ref="EB1:ED1"/>
    <mergeCell ref="GJ1:GJ2"/>
    <mergeCell ref="GK1:GK2"/>
    <mergeCell ref="GL1:GL2"/>
    <mergeCell ref="GM1:GM2"/>
    <mergeCell ref="GN1:GP1"/>
  </mergeCells>
  <hyperlinks>
    <hyperlink ref="W3" r:id="rId1"/>
  </hyperlinks>
  <pageMargins left="0.7" right="0.7" top="0.75" bottom="0.75" header="0.3" footer="0.3"/>
  <pageSetup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8" workbookViewId="0">
      <selection activeCell="V7" sqref="V7"/>
    </sheetView>
  </sheetViews>
  <sheetFormatPr baseColWidth="10" defaultRowHeight="14.4" x14ac:dyDescent="0.3"/>
  <cols>
    <col min="2" max="2" width="25.21875" customWidth="1"/>
    <col min="3" max="3" width="41.44140625" customWidth="1"/>
    <col min="4" max="12" width="3.88671875" customWidth="1"/>
  </cols>
  <sheetData>
    <row r="1" spans="1:12" ht="14.4" customHeight="1" x14ac:dyDescent="0.3">
      <c r="A1" s="294" t="s">
        <v>373</v>
      </c>
      <c r="B1" s="196"/>
      <c r="C1" s="281" t="s">
        <v>342</v>
      </c>
      <c r="D1" s="284" t="s">
        <v>372</v>
      </c>
      <c r="E1" s="284"/>
      <c r="F1" s="284"/>
      <c r="G1" s="284" t="s">
        <v>25</v>
      </c>
      <c r="H1" s="284"/>
      <c r="I1" s="284"/>
      <c r="J1" s="284" t="s">
        <v>26</v>
      </c>
      <c r="K1" s="284"/>
      <c r="L1" s="284"/>
    </row>
    <row r="2" spans="1:12" x14ac:dyDescent="0.3">
      <c r="A2" s="294"/>
      <c r="B2" s="196"/>
      <c r="C2" s="281"/>
      <c r="D2" s="187" t="s">
        <v>193</v>
      </c>
      <c r="E2" s="187" t="s">
        <v>194</v>
      </c>
      <c r="F2" s="186" t="s">
        <v>195</v>
      </c>
      <c r="G2" s="187" t="s">
        <v>193</v>
      </c>
      <c r="H2" s="187" t="s">
        <v>194</v>
      </c>
      <c r="I2" s="186" t="s">
        <v>195</v>
      </c>
      <c r="J2" s="187" t="s">
        <v>193</v>
      </c>
      <c r="K2" s="187" t="s">
        <v>194</v>
      </c>
      <c r="L2" s="186" t="s">
        <v>195</v>
      </c>
    </row>
    <row r="3" spans="1:12" x14ac:dyDescent="0.3">
      <c r="A3" t="s">
        <v>374</v>
      </c>
      <c r="C3" s="192" t="s">
        <v>343</v>
      </c>
      <c r="D3" s="193"/>
      <c r="E3" s="193">
        <v>1</v>
      </c>
      <c r="F3" s="193"/>
      <c r="G3" s="194">
        <v>2</v>
      </c>
      <c r="H3" s="194">
        <v>1</v>
      </c>
      <c r="I3" s="194"/>
      <c r="J3" s="194">
        <v>1</v>
      </c>
      <c r="K3" s="194">
        <v>1</v>
      </c>
      <c r="L3" s="194"/>
    </row>
    <row r="4" spans="1:12" x14ac:dyDescent="0.3">
      <c r="A4" t="s">
        <v>375</v>
      </c>
      <c r="C4" s="192" t="s">
        <v>344</v>
      </c>
      <c r="D4" s="193"/>
      <c r="E4" s="193">
        <v>1</v>
      </c>
      <c r="F4" s="193"/>
      <c r="G4" s="194">
        <v>1</v>
      </c>
      <c r="H4" s="194">
        <v>2</v>
      </c>
      <c r="I4" s="194"/>
      <c r="J4" s="194">
        <v>1</v>
      </c>
      <c r="K4" s="194">
        <v>1</v>
      </c>
      <c r="L4" s="194"/>
    </row>
    <row r="5" spans="1:12" x14ac:dyDescent="0.3">
      <c r="A5" t="s">
        <v>376</v>
      </c>
      <c r="C5" s="195" t="s">
        <v>345</v>
      </c>
      <c r="D5" s="193">
        <v>1</v>
      </c>
      <c r="E5" s="193"/>
      <c r="F5" s="193"/>
      <c r="G5" s="194">
        <v>1</v>
      </c>
      <c r="H5" s="194">
        <v>2</v>
      </c>
      <c r="I5" s="194"/>
      <c r="J5" s="194">
        <v>1</v>
      </c>
      <c r="K5" s="194">
        <v>1</v>
      </c>
      <c r="L5" s="194">
        <v>1</v>
      </c>
    </row>
    <row r="6" spans="1:12" x14ac:dyDescent="0.3">
      <c r="A6" t="s">
        <v>376</v>
      </c>
      <c r="C6" s="192" t="s">
        <v>346</v>
      </c>
      <c r="D6" s="193">
        <v>1</v>
      </c>
      <c r="E6" s="193"/>
      <c r="F6" s="193"/>
      <c r="G6" s="194"/>
      <c r="H6" s="194">
        <v>3</v>
      </c>
      <c r="I6" s="194"/>
      <c r="J6" s="194">
        <v>1</v>
      </c>
      <c r="K6" s="194">
        <v>2</v>
      </c>
      <c r="L6" s="194"/>
    </row>
    <row r="7" spans="1:12" x14ac:dyDescent="0.3">
      <c r="A7" t="s">
        <v>375</v>
      </c>
      <c r="C7" s="192" t="s">
        <v>347</v>
      </c>
      <c r="D7" s="193">
        <v>1</v>
      </c>
      <c r="E7" s="193"/>
      <c r="F7" s="193"/>
      <c r="G7" s="194">
        <v>1</v>
      </c>
      <c r="H7" s="194">
        <v>2</v>
      </c>
      <c r="I7" s="194"/>
      <c r="J7" s="194">
        <v>1</v>
      </c>
      <c r="K7" s="194">
        <v>1</v>
      </c>
      <c r="L7" s="194"/>
    </row>
    <row r="8" spans="1:12" x14ac:dyDescent="0.3">
      <c r="A8" t="s">
        <v>377</v>
      </c>
      <c r="C8" s="192" t="s">
        <v>348</v>
      </c>
      <c r="D8" s="193">
        <v>1</v>
      </c>
      <c r="E8" s="193"/>
      <c r="F8" s="193"/>
      <c r="G8" s="194"/>
      <c r="H8" s="194">
        <v>1</v>
      </c>
      <c r="I8" s="194">
        <v>1</v>
      </c>
      <c r="J8" s="194">
        <v>1</v>
      </c>
      <c r="K8" s="194"/>
      <c r="L8" s="194"/>
    </row>
    <row r="9" spans="1:12" x14ac:dyDescent="0.3">
      <c r="A9" t="s">
        <v>374</v>
      </c>
      <c r="C9" s="195" t="s">
        <v>349</v>
      </c>
      <c r="D9" s="193">
        <v>1</v>
      </c>
      <c r="E9" s="193"/>
      <c r="F9" s="193"/>
      <c r="G9" s="194"/>
      <c r="H9" s="194">
        <v>1</v>
      </c>
      <c r="I9" s="194"/>
      <c r="J9" s="194">
        <v>1</v>
      </c>
      <c r="K9" s="194"/>
      <c r="L9" s="194"/>
    </row>
    <row r="10" spans="1:12" x14ac:dyDescent="0.3">
      <c r="A10" t="s">
        <v>378</v>
      </c>
      <c r="C10" s="192" t="s">
        <v>350</v>
      </c>
      <c r="D10" s="193">
        <v>1</v>
      </c>
      <c r="E10" s="193"/>
      <c r="F10" s="193"/>
      <c r="G10" s="194"/>
      <c r="H10" s="194">
        <v>4</v>
      </c>
      <c r="I10" s="194"/>
      <c r="J10" s="194">
        <v>1</v>
      </c>
      <c r="K10" s="194">
        <v>1</v>
      </c>
      <c r="L10" s="194"/>
    </row>
    <row r="11" spans="1:12" x14ac:dyDescent="0.3">
      <c r="A11" t="s">
        <v>376</v>
      </c>
      <c r="C11" s="192" t="s">
        <v>351</v>
      </c>
      <c r="D11" s="193"/>
      <c r="E11" s="193">
        <v>1</v>
      </c>
      <c r="F11" s="193"/>
      <c r="G11" s="194"/>
      <c r="H11" s="194">
        <v>2</v>
      </c>
      <c r="I11" s="194"/>
      <c r="J11" s="194">
        <v>1</v>
      </c>
      <c r="K11" s="194"/>
      <c r="L11" s="194"/>
    </row>
    <row r="12" spans="1:12" x14ac:dyDescent="0.3">
      <c r="A12" t="s">
        <v>374</v>
      </c>
      <c r="C12" s="195" t="s">
        <v>352</v>
      </c>
      <c r="D12" s="193"/>
      <c r="E12" s="193">
        <v>1</v>
      </c>
      <c r="F12" s="193"/>
      <c r="G12" s="194">
        <v>2</v>
      </c>
      <c r="H12" s="194">
        <v>1</v>
      </c>
      <c r="I12" s="194"/>
      <c r="J12" s="194">
        <v>2</v>
      </c>
      <c r="K12" s="194"/>
      <c r="L12" s="194"/>
    </row>
    <row r="13" spans="1:12" x14ac:dyDescent="0.3">
      <c r="A13" t="s">
        <v>374</v>
      </c>
      <c r="C13" s="192" t="s">
        <v>353</v>
      </c>
      <c r="D13" s="193"/>
      <c r="E13" s="193">
        <v>1</v>
      </c>
      <c r="F13" s="193"/>
      <c r="G13" s="194">
        <v>1</v>
      </c>
      <c r="H13" s="194">
        <v>2</v>
      </c>
      <c r="I13" s="194"/>
      <c r="J13" s="194">
        <v>1</v>
      </c>
      <c r="K13" s="194">
        <v>1</v>
      </c>
      <c r="L13" s="194"/>
    </row>
    <row r="14" spans="1:12" x14ac:dyDescent="0.3">
      <c r="A14" t="s">
        <v>374</v>
      </c>
      <c r="C14" s="192" t="s">
        <v>354</v>
      </c>
      <c r="D14" s="193">
        <v>1</v>
      </c>
      <c r="E14" s="193"/>
      <c r="F14" s="193"/>
      <c r="G14" s="194">
        <v>1</v>
      </c>
      <c r="H14" s="194">
        <v>2</v>
      </c>
      <c r="I14" s="194"/>
      <c r="J14" s="194">
        <v>1</v>
      </c>
      <c r="K14" s="194">
        <v>1</v>
      </c>
      <c r="L14" s="194"/>
    </row>
    <row r="15" spans="1:12" x14ac:dyDescent="0.3">
      <c r="A15" t="s">
        <v>376</v>
      </c>
      <c r="C15" s="192" t="s">
        <v>355</v>
      </c>
      <c r="D15" s="193"/>
      <c r="E15" s="193">
        <v>1</v>
      </c>
      <c r="F15" s="193"/>
      <c r="G15" s="194">
        <v>1</v>
      </c>
      <c r="H15" s="194">
        <v>2</v>
      </c>
      <c r="I15" s="194"/>
      <c r="J15" s="194">
        <v>1</v>
      </c>
      <c r="K15" s="194">
        <v>1</v>
      </c>
      <c r="L15" s="194"/>
    </row>
    <row r="16" spans="1:12" x14ac:dyDescent="0.3">
      <c r="A16" t="s">
        <v>378</v>
      </c>
      <c r="C16" s="195" t="s">
        <v>356</v>
      </c>
      <c r="D16" s="193">
        <v>1</v>
      </c>
      <c r="E16" s="193"/>
      <c r="F16" s="193"/>
      <c r="G16" s="194">
        <v>1</v>
      </c>
      <c r="H16" s="194">
        <v>3</v>
      </c>
      <c r="I16" s="194"/>
      <c r="J16" s="194">
        <v>2</v>
      </c>
      <c r="K16" s="194">
        <v>1</v>
      </c>
      <c r="L16" s="194"/>
    </row>
    <row r="17" spans="1:12" x14ac:dyDescent="0.3">
      <c r="A17" t="s">
        <v>374</v>
      </c>
      <c r="C17" s="195" t="s">
        <v>357</v>
      </c>
      <c r="D17" s="193"/>
      <c r="E17" s="193">
        <v>1</v>
      </c>
      <c r="F17" s="193"/>
      <c r="G17" s="194">
        <v>1</v>
      </c>
      <c r="H17" s="194">
        <v>2</v>
      </c>
      <c r="I17" s="194"/>
      <c r="J17" s="194">
        <v>1</v>
      </c>
      <c r="K17" s="194">
        <v>1</v>
      </c>
      <c r="L17" s="194"/>
    </row>
    <row r="18" spans="1:12" x14ac:dyDescent="0.3">
      <c r="A18" t="s">
        <v>374</v>
      </c>
      <c r="C18" s="192" t="s">
        <v>358</v>
      </c>
      <c r="D18" s="193"/>
      <c r="E18" s="193">
        <v>1</v>
      </c>
      <c r="F18" s="193"/>
      <c r="G18" s="194">
        <v>1</v>
      </c>
      <c r="H18" s="194">
        <v>1</v>
      </c>
      <c r="I18" s="194"/>
      <c r="J18" s="194"/>
      <c r="K18" s="194">
        <v>1</v>
      </c>
      <c r="L18" s="194"/>
    </row>
    <row r="19" spans="1:12" x14ac:dyDescent="0.3">
      <c r="A19" t="s">
        <v>375</v>
      </c>
      <c r="C19" s="195" t="s">
        <v>359</v>
      </c>
      <c r="D19" s="193"/>
      <c r="E19" s="193">
        <v>1</v>
      </c>
      <c r="F19" s="193"/>
      <c r="G19" s="194">
        <v>1</v>
      </c>
      <c r="H19" s="194">
        <v>2</v>
      </c>
      <c r="I19" s="194"/>
      <c r="J19" s="194">
        <v>1</v>
      </c>
      <c r="K19" s="194">
        <v>1</v>
      </c>
      <c r="L19" s="194"/>
    </row>
    <row r="20" spans="1:12" x14ac:dyDescent="0.3">
      <c r="A20" t="s">
        <v>377</v>
      </c>
      <c r="C20" s="192" t="s">
        <v>360</v>
      </c>
      <c r="D20" s="193">
        <v>1</v>
      </c>
      <c r="E20" s="193"/>
      <c r="F20" s="193"/>
      <c r="G20" s="194">
        <v>1</v>
      </c>
      <c r="H20" s="194">
        <v>2</v>
      </c>
      <c r="I20" s="194"/>
      <c r="J20" s="194"/>
      <c r="K20" s="194">
        <v>2</v>
      </c>
      <c r="L20" s="194"/>
    </row>
    <row r="21" spans="1:12" x14ac:dyDescent="0.3">
      <c r="A21" t="s">
        <v>375</v>
      </c>
      <c r="C21" s="195" t="s">
        <v>361</v>
      </c>
      <c r="D21" s="193"/>
      <c r="E21" s="193">
        <v>1</v>
      </c>
      <c r="F21" s="193"/>
      <c r="G21" s="194"/>
      <c r="H21" s="194">
        <v>3</v>
      </c>
      <c r="I21" s="194"/>
      <c r="J21" s="194">
        <v>2</v>
      </c>
      <c r="K21" s="194"/>
      <c r="L21" s="194"/>
    </row>
    <row r="22" spans="1:12" x14ac:dyDescent="0.3">
      <c r="A22" t="s">
        <v>374</v>
      </c>
      <c r="C22" s="192" t="s">
        <v>362</v>
      </c>
      <c r="D22" s="193"/>
      <c r="E22" s="193">
        <v>1</v>
      </c>
      <c r="F22" s="193"/>
      <c r="G22" s="194"/>
      <c r="H22" s="194">
        <v>1</v>
      </c>
      <c r="I22" s="194"/>
      <c r="J22" s="194">
        <v>1</v>
      </c>
      <c r="K22" s="194"/>
      <c r="L22" s="194"/>
    </row>
    <row r="23" spans="1:12" x14ac:dyDescent="0.3">
      <c r="A23" t="s">
        <v>378</v>
      </c>
      <c r="C23" s="192" t="s">
        <v>363</v>
      </c>
      <c r="D23" s="193"/>
      <c r="E23" s="193">
        <v>1</v>
      </c>
      <c r="F23" s="193"/>
      <c r="G23" s="194">
        <v>1</v>
      </c>
      <c r="H23" s="194">
        <v>2</v>
      </c>
      <c r="I23" s="194"/>
      <c r="J23" s="194">
        <v>2</v>
      </c>
      <c r="K23" s="194"/>
      <c r="L23" s="194"/>
    </row>
    <row r="24" spans="1:12" x14ac:dyDescent="0.3">
      <c r="A24" t="s">
        <v>378</v>
      </c>
      <c r="C24" s="192" t="s">
        <v>364</v>
      </c>
      <c r="D24" s="193"/>
      <c r="E24" s="193">
        <v>1</v>
      </c>
      <c r="F24" s="193"/>
      <c r="G24" s="194">
        <v>1</v>
      </c>
      <c r="H24" s="194">
        <v>2</v>
      </c>
      <c r="I24" s="194">
        <v>1</v>
      </c>
      <c r="J24" s="194">
        <v>1</v>
      </c>
      <c r="K24" s="194">
        <v>1</v>
      </c>
      <c r="L24" s="194">
        <v>1</v>
      </c>
    </row>
    <row r="25" spans="1:12" x14ac:dyDescent="0.3">
      <c r="A25" t="s">
        <v>377</v>
      </c>
      <c r="C25" s="192" t="s">
        <v>365</v>
      </c>
      <c r="D25" s="193">
        <v>1</v>
      </c>
      <c r="E25" s="193"/>
      <c r="F25" s="193"/>
      <c r="G25" s="194"/>
      <c r="H25" s="194">
        <v>1</v>
      </c>
      <c r="I25" s="194"/>
      <c r="J25" s="194">
        <v>1</v>
      </c>
      <c r="K25" s="194"/>
      <c r="L25" s="194"/>
    </row>
    <row r="26" spans="1:12" x14ac:dyDescent="0.3">
      <c r="A26" t="s">
        <v>375</v>
      </c>
      <c r="C26" s="192" t="s">
        <v>366</v>
      </c>
      <c r="D26" s="193">
        <v>1</v>
      </c>
      <c r="E26" s="193"/>
      <c r="F26" s="193"/>
      <c r="G26" s="194">
        <v>1</v>
      </c>
      <c r="H26" s="194">
        <v>2</v>
      </c>
      <c r="I26" s="194"/>
      <c r="J26" s="194">
        <v>1</v>
      </c>
      <c r="K26" s="194">
        <v>1</v>
      </c>
      <c r="L26" s="194"/>
    </row>
    <row r="27" spans="1:12" x14ac:dyDescent="0.3">
      <c r="A27" t="s">
        <v>377</v>
      </c>
      <c r="C27" s="195" t="s">
        <v>367</v>
      </c>
      <c r="D27" s="193"/>
      <c r="E27" s="193">
        <v>1</v>
      </c>
      <c r="F27" s="193"/>
      <c r="G27" s="194"/>
      <c r="H27" s="194">
        <v>1</v>
      </c>
      <c r="I27" s="194"/>
      <c r="J27" s="194"/>
      <c r="K27" s="194">
        <v>1</v>
      </c>
      <c r="L27" s="194"/>
    </row>
    <row r="28" spans="1:12" x14ac:dyDescent="0.3">
      <c r="A28" t="s">
        <v>377</v>
      </c>
      <c r="C28" s="192" t="s">
        <v>368</v>
      </c>
      <c r="D28" s="193">
        <v>1</v>
      </c>
      <c r="E28" s="193"/>
      <c r="F28" s="193"/>
      <c r="G28" s="194">
        <v>1</v>
      </c>
      <c r="H28" s="194">
        <v>3</v>
      </c>
      <c r="I28" s="194"/>
      <c r="J28" s="194"/>
      <c r="K28" s="194">
        <v>2</v>
      </c>
      <c r="L28" s="194"/>
    </row>
    <row r="29" spans="1:12" x14ac:dyDescent="0.3">
      <c r="A29" t="s">
        <v>374</v>
      </c>
      <c r="C29" s="192" t="s">
        <v>369</v>
      </c>
      <c r="D29" s="193"/>
      <c r="E29" s="193">
        <v>1</v>
      </c>
      <c r="F29" s="193"/>
      <c r="G29" s="194">
        <v>1</v>
      </c>
      <c r="H29" s="194">
        <v>2</v>
      </c>
      <c r="I29" s="194"/>
      <c r="J29" s="194">
        <v>2</v>
      </c>
      <c r="K29" s="194"/>
      <c r="L29" s="194"/>
    </row>
    <row r="30" spans="1:12" x14ac:dyDescent="0.3">
      <c r="A30" t="s">
        <v>377</v>
      </c>
      <c r="C30" s="192" t="s">
        <v>370</v>
      </c>
      <c r="D30" s="193">
        <v>1</v>
      </c>
      <c r="E30" s="193"/>
      <c r="F30" s="193"/>
      <c r="G30" s="194"/>
      <c r="H30" s="194"/>
      <c r="I30" s="194"/>
      <c r="J30" s="194"/>
      <c r="K30" s="194"/>
      <c r="L30" s="194"/>
    </row>
    <row r="31" spans="1:12" x14ac:dyDescent="0.3">
      <c r="A31" t="s">
        <v>378</v>
      </c>
      <c r="C31" s="192" t="s">
        <v>371</v>
      </c>
      <c r="D31" s="193">
        <v>1</v>
      </c>
      <c r="E31" s="193"/>
      <c r="F31" s="193"/>
      <c r="G31" s="194"/>
      <c r="H31" s="194">
        <v>3</v>
      </c>
      <c r="I31" s="194"/>
      <c r="J31" s="194">
        <v>1</v>
      </c>
      <c r="K31" s="194"/>
      <c r="L31" s="194"/>
    </row>
    <row r="32" spans="1:12" x14ac:dyDescent="0.3">
      <c r="D32" s="4">
        <f>SUM(D2:D31)</f>
        <v>14</v>
      </c>
      <c r="E32" s="4">
        <f>SUM(E2:E31)</f>
        <v>15</v>
      </c>
      <c r="F32" s="4">
        <f>SUM(F2:F31)</f>
        <v>0</v>
      </c>
      <c r="G32" s="4">
        <f t="shared" ref="G32:L32" si="0">SUM(G3:G31)</f>
        <v>20</v>
      </c>
      <c r="H32" s="4">
        <f t="shared" si="0"/>
        <v>55</v>
      </c>
      <c r="I32" s="4">
        <f t="shared" si="0"/>
        <v>2</v>
      </c>
      <c r="J32" s="4">
        <f t="shared" si="0"/>
        <v>29</v>
      </c>
      <c r="K32" s="4">
        <f t="shared" si="0"/>
        <v>21</v>
      </c>
      <c r="L32" s="4">
        <f t="shared" si="0"/>
        <v>2</v>
      </c>
    </row>
    <row r="33" spans="4:12" x14ac:dyDescent="0.3">
      <c r="D33" s="4"/>
      <c r="E33" s="4">
        <f>SUM(D3:E31)</f>
        <v>29</v>
      </c>
      <c r="F33" s="4"/>
      <c r="G33" s="4"/>
      <c r="H33" s="4">
        <f>+G32+H32</f>
        <v>75</v>
      </c>
      <c r="I33" s="4"/>
      <c r="J33" s="4"/>
      <c r="K33" s="4">
        <f>SUM(J3:K31)</f>
        <v>50</v>
      </c>
      <c r="L33" s="4"/>
    </row>
    <row r="34" spans="4:12" x14ac:dyDescent="0.3">
      <c r="D34" s="4"/>
      <c r="E34" s="4"/>
      <c r="F34" s="4"/>
    </row>
  </sheetData>
  <autoFilter ref="A1:L33">
    <filterColumn colId="3" showButton="0"/>
    <filterColumn colId="4" showButton="0"/>
    <filterColumn colId="6" showButton="0"/>
    <filterColumn colId="7" showButton="0"/>
    <filterColumn colId="9" showButton="0"/>
    <filterColumn colId="10" showButton="0"/>
  </autoFilter>
  <mergeCells count="5">
    <mergeCell ref="C1:C2"/>
    <mergeCell ref="D1:F1"/>
    <mergeCell ref="G1:I1"/>
    <mergeCell ref="J1:L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Formato</vt:lpstr>
      <vt:lpstr>Base</vt:lpstr>
      <vt:lpstr>Hoja4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OJuanJose</dc:creator>
  <cp:lastModifiedBy>MBR</cp:lastModifiedBy>
  <cp:lastPrinted>2014-10-11T12:36:49Z</cp:lastPrinted>
  <dcterms:created xsi:type="dcterms:W3CDTF">2012-08-28T22:00:06Z</dcterms:created>
  <dcterms:modified xsi:type="dcterms:W3CDTF">2014-10-13T23:39:30Z</dcterms:modified>
</cp:coreProperties>
</file>