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090" windowWidth="19230" windowHeight="5910"/>
  </bookViews>
  <sheets>
    <sheet name="Formato" sheetId="1" r:id="rId1"/>
    <sheet name="Base" sheetId="2" r:id="rId2"/>
    <sheet name="Hoja3" sheetId="3" r:id="rId3"/>
    <sheet name="Hoja1" sheetId="4" r:id="rId4"/>
    <sheet name="Hoja2" sheetId="5" r:id="rId5"/>
  </sheets>
  <definedNames>
    <definedName name="_xlnm._FilterDatabase" localSheetId="3" hidden="1">Hoja1!$A$4:$P$1383</definedName>
  </definedNames>
  <calcPr calcId="145621"/>
</workbook>
</file>

<file path=xl/calcChain.xml><?xml version="1.0" encoding="utf-8"?>
<calcChain xmlns="http://schemas.openxmlformats.org/spreadsheetml/2006/main">
  <c r="K537" i="1" l="1"/>
  <c r="L537" i="1"/>
  <c r="O8" i="5" l="1"/>
  <c r="O11" i="5"/>
  <c r="M5" i="5"/>
  <c r="I11" i="5"/>
  <c r="H11" i="5"/>
  <c r="G11" i="5"/>
  <c r="N11" i="5" l="1"/>
  <c r="M8" i="5"/>
  <c r="L9" i="5"/>
  <c r="M9" i="5" s="1"/>
  <c r="L8" i="5"/>
  <c r="L7" i="5"/>
  <c r="M7" i="5" s="1"/>
  <c r="L5" i="5"/>
  <c r="M11" i="5" l="1"/>
  <c r="N582" i="1"/>
  <c r="M582" i="1"/>
  <c r="K582" i="1"/>
  <c r="C581" i="1"/>
  <c r="J576" i="1"/>
  <c r="J572" i="1"/>
  <c r="J568" i="1"/>
  <c r="N542" i="1" l="1"/>
  <c r="L542" i="1"/>
  <c r="K542" i="1"/>
  <c r="N541" i="1"/>
  <c r="L541" i="1"/>
  <c r="K541" i="1"/>
  <c r="N540" i="1"/>
  <c r="L540" i="1"/>
  <c r="K540" i="1"/>
  <c r="N539" i="1"/>
  <c r="L539" i="1"/>
  <c r="K539" i="1"/>
  <c r="N538" i="1"/>
  <c r="L538" i="1"/>
  <c r="K538" i="1"/>
  <c r="N537" i="1"/>
  <c r="N532" i="1"/>
  <c r="L532" i="1"/>
  <c r="K532" i="1"/>
  <c r="N531" i="1"/>
  <c r="N530" i="1"/>
  <c r="L531" i="1"/>
  <c r="K531" i="1"/>
  <c r="M537" i="1" l="1"/>
  <c r="N544" i="1"/>
  <c r="M539" i="1"/>
  <c r="L544" i="1"/>
  <c r="M538" i="1"/>
  <c r="M540" i="1"/>
  <c r="M542" i="1"/>
  <c r="M541" i="1"/>
  <c r="K544" i="1"/>
  <c r="N534" i="1"/>
  <c r="M544" i="1" l="1"/>
  <c r="M532" i="1"/>
  <c r="M531" i="1"/>
  <c r="L530" i="1"/>
  <c r="L534" i="1" s="1"/>
  <c r="K530" i="1"/>
  <c r="K534" i="1" s="1"/>
  <c r="N525" i="1"/>
  <c r="L525" i="1"/>
  <c r="K525" i="1"/>
  <c r="N524" i="1"/>
  <c r="L524" i="1"/>
  <c r="K524" i="1"/>
  <c r="N523" i="1"/>
  <c r="L523" i="1"/>
  <c r="K523" i="1"/>
  <c r="N494" i="1"/>
  <c r="M494" i="1"/>
  <c r="L494" i="1"/>
  <c r="K494" i="1"/>
  <c r="J494" i="1"/>
  <c r="I494" i="1"/>
  <c r="N493" i="1"/>
  <c r="M493" i="1"/>
  <c r="L493" i="1"/>
  <c r="K493" i="1"/>
  <c r="J493" i="1"/>
  <c r="I493" i="1"/>
  <c r="N492" i="1"/>
  <c r="M492" i="1"/>
  <c r="N491" i="1"/>
  <c r="L492" i="1"/>
  <c r="K492" i="1"/>
  <c r="J492" i="1"/>
  <c r="I492" i="1"/>
  <c r="M491" i="1"/>
  <c r="L491" i="1"/>
  <c r="K491" i="1"/>
  <c r="J491" i="1"/>
  <c r="I491" i="1"/>
  <c r="N490" i="1"/>
  <c r="M490" i="1"/>
  <c r="L490" i="1"/>
  <c r="K490" i="1"/>
  <c r="J490" i="1"/>
  <c r="I490" i="1"/>
  <c r="M472" i="1"/>
  <c r="M471" i="1"/>
  <c r="M470" i="1"/>
  <c r="K472" i="1"/>
  <c r="K471" i="1"/>
  <c r="K470" i="1"/>
  <c r="M463" i="1"/>
  <c r="M462" i="1"/>
  <c r="M461" i="1"/>
  <c r="K463" i="1"/>
  <c r="K462" i="1"/>
  <c r="K461" i="1"/>
  <c r="N454" i="1"/>
  <c r="L454" i="1"/>
  <c r="K454" i="1"/>
  <c r="N453" i="1"/>
  <c r="L453" i="1"/>
  <c r="K453" i="1"/>
  <c r="N452" i="1"/>
  <c r="L452" i="1"/>
  <c r="K452" i="1"/>
  <c r="N451" i="1"/>
  <c r="L451" i="1"/>
  <c r="K451" i="1"/>
  <c r="N447" i="1"/>
  <c r="L447" i="1"/>
  <c r="K447" i="1"/>
  <c r="N446" i="1"/>
  <c r="L446" i="1"/>
  <c r="K446" i="1"/>
  <c r="N445" i="1"/>
  <c r="L445" i="1"/>
  <c r="K445" i="1"/>
  <c r="N444" i="1"/>
  <c r="L444" i="1"/>
  <c r="K444" i="1"/>
  <c r="J427" i="1"/>
  <c r="J425" i="1"/>
  <c r="J424" i="1"/>
  <c r="J423" i="1"/>
  <c r="J422" i="1"/>
  <c r="J421" i="1"/>
  <c r="J420" i="1"/>
  <c r="N411" i="1"/>
  <c r="L411" i="1"/>
  <c r="K411" i="1"/>
  <c r="J411" i="1"/>
  <c r="N410" i="1"/>
  <c r="L410" i="1"/>
  <c r="K410" i="1"/>
  <c r="J410" i="1"/>
  <c r="N409" i="1"/>
  <c r="L409" i="1"/>
  <c r="K409" i="1"/>
  <c r="J409" i="1"/>
  <c r="N408" i="1"/>
  <c r="L408" i="1"/>
  <c r="K408" i="1"/>
  <c r="J408" i="1"/>
  <c r="N407" i="1"/>
  <c r="N413" i="1" s="1"/>
  <c r="L407" i="1"/>
  <c r="L413" i="1" s="1"/>
  <c r="K407" i="1"/>
  <c r="J407" i="1"/>
  <c r="J413" i="1" s="1"/>
  <c r="L375" i="1"/>
  <c r="L374" i="1"/>
  <c r="L373" i="1"/>
  <c r="L372" i="1"/>
  <c r="L371" i="1"/>
  <c r="L370" i="1"/>
  <c r="E338" i="1"/>
  <c r="E191" i="1"/>
  <c r="L164" i="1"/>
  <c r="L163" i="1"/>
  <c r="L162" i="1"/>
  <c r="L161" i="1"/>
  <c r="L160" i="1"/>
  <c r="L154" i="1"/>
  <c r="L153" i="1"/>
  <c r="L152" i="1"/>
  <c r="L151" i="1"/>
  <c r="M407" i="1" l="1"/>
  <c r="K449" i="1"/>
  <c r="N449" i="1"/>
  <c r="M451" i="1"/>
  <c r="K465" i="1"/>
  <c r="K474" i="1"/>
  <c r="O490" i="1"/>
  <c r="M523" i="1"/>
  <c r="M525" i="1"/>
  <c r="L449" i="1"/>
  <c r="L377" i="1"/>
  <c r="J429" i="1"/>
  <c r="M445" i="1"/>
  <c r="M465" i="1"/>
  <c r="M474" i="1"/>
  <c r="M530" i="1"/>
  <c r="M534" i="1" s="1"/>
  <c r="K413" i="1"/>
  <c r="M444" i="1"/>
  <c r="N527" i="1"/>
  <c r="N520" i="1" s="1"/>
  <c r="L527" i="1"/>
  <c r="L520" i="1" s="1"/>
  <c r="K527" i="1"/>
  <c r="K520" i="1" s="1"/>
  <c r="M524" i="1"/>
  <c r="O494" i="1"/>
  <c r="O493" i="1"/>
  <c r="N496" i="1"/>
  <c r="M496" i="1"/>
  <c r="L496" i="1"/>
  <c r="K496" i="1"/>
  <c r="J496" i="1"/>
  <c r="O492" i="1"/>
  <c r="I496" i="1"/>
  <c r="O491" i="1"/>
  <c r="M454" i="1"/>
  <c r="N456" i="1"/>
  <c r="L456" i="1"/>
  <c r="M453" i="1"/>
  <c r="M452" i="1"/>
  <c r="K456" i="1"/>
  <c r="M447" i="1"/>
  <c r="M446" i="1"/>
  <c r="M411" i="1"/>
  <c r="M410" i="1"/>
  <c r="M409" i="1"/>
  <c r="M408" i="1"/>
  <c r="L59" i="1"/>
  <c r="F59" i="1"/>
  <c r="E58" i="1"/>
  <c r="N57" i="1"/>
  <c r="K57" i="1"/>
  <c r="H57" i="1"/>
  <c r="D57" i="1"/>
  <c r="E55" i="1"/>
  <c r="E54" i="1"/>
  <c r="E53" i="1"/>
  <c r="N52" i="1"/>
  <c r="E52" i="1"/>
  <c r="E50" i="1"/>
  <c r="E49" i="1"/>
  <c r="E48" i="1"/>
  <c r="K47" i="1"/>
  <c r="E47" i="1"/>
  <c r="E46" i="1"/>
  <c r="E45" i="1"/>
  <c r="M527" i="1" l="1"/>
  <c r="M520" i="1" s="1"/>
  <c r="M413" i="1"/>
  <c r="E195" i="1"/>
  <c r="E341" i="1"/>
  <c r="M456" i="1"/>
  <c r="M449" i="1"/>
  <c r="O496" i="1"/>
  <c r="M121" i="1"/>
  <c r="M119" i="1"/>
  <c r="N100" i="1"/>
  <c r="E61" i="1"/>
  <c r="L137" i="1"/>
  <c r="O121" i="1"/>
  <c r="O119" i="1"/>
  <c r="O117" i="1"/>
  <c r="L100" i="1"/>
  <c r="M61" i="1"/>
  <c r="L138" i="1"/>
  <c r="M117" i="1"/>
  <c r="L136" i="1"/>
  <c r="O120" i="1"/>
  <c r="O116" i="1"/>
  <c r="L99" i="1"/>
  <c r="L139" i="1"/>
  <c r="L135" i="1"/>
  <c r="M120" i="1"/>
  <c r="M118" i="1"/>
  <c r="M116" i="1"/>
  <c r="N99" i="1"/>
  <c r="G60" i="1"/>
  <c r="O118" i="1"/>
  <c r="K81" i="1"/>
  <c r="L117" i="1"/>
  <c r="N117" i="1" s="1"/>
  <c r="L120" i="1"/>
  <c r="L134" i="1"/>
  <c r="K100" i="1"/>
  <c r="N81" i="1"/>
  <c r="N84" i="1" s="1"/>
  <c r="L119" i="1"/>
  <c r="L116" i="1"/>
  <c r="O115" i="1"/>
  <c r="N98" i="1"/>
  <c r="K99" i="1"/>
  <c r="L121" i="1"/>
  <c r="L118" i="1"/>
  <c r="M115" i="1"/>
  <c r="L98" i="1"/>
  <c r="L115" i="1"/>
  <c r="K98" i="1"/>
  <c r="N119" i="1" l="1"/>
  <c r="K102" i="1"/>
  <c r="N118" i="1"/>
  <c r="M99" i="1"/>
  <c r="N102" i="1"/>
  <c r="L156" i="1"/>
  <c r="M98" i="1"/>
  <c r="L124" i="1"/>
  <c r="M124" i="1"/>
  <c r="N121" i="1"/>
  <c r="O124" i="1"/>
  <c r="L141" i="1"/>
  <c r="L166" i="1"/>
  <c r="L102" i="1"/>
  <c r="N116" i="1"/>
  <c r="M100" i="1"/>
  <c r="N120" i="1"/>
  <c r="N115" i="1"/>
  <c r="O128" i="1" l="1"/>
  <c r="L128" i="1"/>
  <c r="M102" i="1"/>
  <c r="M128" i="1"/>
  <c r="N124" i="1"/>
  <c r="N128" i="1" l="1"/>
</calcChain>
</file>

<file path=xl/sharedStrings.xml><?xml version="1.0" encoding="utf-8"?>
<sst xmlns="http://schemas.openxmlformats.org/spreadsheetml/2006/main" count="3595" uniqueCount="458">
  <si>
    <t>Módulo de Docencia</t>
  </si>
  <si>
    <t>Identificación de la Institución</t>
  </si>
  <si>
    <t>Clave de la Institución</t>
  </si>
  <si>
    <t>Código Postal</t>
  </si>
  <si>
    <t>Teléfono</t>
  </si>
  <si>
    <t>Extensión</t>
  </si>
  <si>
    <t>Fax</t>
  </si>
  <si>
    <t>I.   Facultades,   Escuelas,   Centros, Divisiones o Departamentos y Alumnos</t>
  </si>
  <si>
    <t>Nivel</t>
  </si>
  <si>
    <t>Total</t>
  </si>
  <si>
    <t>Modalidad Escolar</t>
  </si>
  <si>
    <t>Facultades, Escuelas, Centros, Divisiones o Departamentos</t>
  </si>
  <si>
    <t>Alumnos</t>
  </si>
  <si>
    <t>Posgrado</t>
  </si>
  <si>
    <t>II. Personal en Áreas Centrales</t>
  </si>
  <si>
    <t>Nota:</t>
  </si>
  <si>
    <t>Si una persona desempeña dos o más funciones, anótela en la que dedique más tiempo.</t>
  </si>
  <si>
    <t>Total de personal</t>
  </si>
  <si>
    <t>Hombres</t>
  </si>
  <si>
    <t>Mujeres</t>
  </si>
  <si>
    <t>* Incluye técnico superior universitario y profesional asociado.</t>
  </si>
  <si>
    <t>I I I .   P e r s o n a l   d e   F a c u l t a d e s , Escuelas, Centros, Divisiones o Departamentos</t>
  </si>
  <si>
    <t>a) Si una persona desempeña dos o más funciones, anótela en la que dedique más tiempo.</t>
  </si>
  <si>
    <t>Directivo</t>
  </si>
  <si>
    <t>Auxiliar de Investigador</t>
  </si>
  <si>
    <t>Administrativo</t>
  </si>
  <si>
    <t>Otros</t>
  </si>
  <si>
    <t>Tipo de intercambio</t>
  </si>
  <si>
    <t>Docentes e Investigadores</t>
  </si>
  <si>
    <t>Docencia</t>
  </si>
  <si>
    <t>Estancias Sabáticas</t>
  </si>
  <si>
    <t>Estancias de Investigación</t>
  </si>
  <si>
    <t>Asistencia a Congreso o Eventos Académicos</t>
  </si>
  <si>
    <t>Seminarios de Proyectos Conjuntos</t>
  </si>
  <si>
    <t>Estancias Tutoriales y Exámenes de Posgrado</t>
  </si>
  <si>
    <t>IV. Finanzas</t>
  </si>
  <si>
    <t>Ingresos</t>
  </si>
  <si>
    <t>Gastos</t>
  </si>
  <si>
    <t>Módulo de Investigación</t>
  </si>
  <si>
    <t>Nombre y firma del responsable del llenado</t>
  </si>
  <si>
    <t>Fecha de llenado</t>
  </si>
  <si>
    <t>Año</t>
  </si>
  <si>
    <t>Mes</t>
  </si>
  <si>
    <t>Día</t>
  </si>
  <si>
    <t>I. Institutos, Centros, Divisiones o Áreas de investigación</t>
  </si>
  <si>
    <t>Total de Institutos, Centros, Divisiones o Áreas de Investigación</t>
  </si>
  <si>
    <t>II. Proyectos de Investigación por Tipo y Área de Estudio</t>
  </si>
  <si>
    <t>Tipo</t>
  </si>
  <si>
    <t>Proyectos</t>
  </si>
  <si>
    <t>En proceso</t>
  </si>
  <si>
    <t>En proceso con colaboración extranjera</t>
  </si>
  <si>
    <t>Área</t>
  </si>
  <si>
    <t>Educación</t>
  </si>
  <si>
    <t>Artes y Humanidades</t>
  </si>
  <si>
    <t>Salud</t>
  </si>
  <si>
    <t>Servicios</t>
  </si>
  <si>
    <t>Docente-Investigador y Docente-Auxiliar de Investigador</t>
  </si>
  <si>
    <t>Investigador</t>
  </si>
  <si>
    <t>Total de personal de los institutos, centros, divisiones o áreas de investigación</t>
  </si>
  <si>
    <t>IV. Investigadores</t>
  </si>
  <si>
    <t>Personal por función</t>
  </si>
  <si>
    <t>Total de Personal</t>
  </si>
  <si>
    <t>Tiempo Completo</t>
  </si>
  <si>
    <t>Medio Tiempo</t>
  </si>
  <si>
    <t>Por Horas</t>
  </si>
  <si>
    <t>Nivel de Estudios</t>
  </si>
  <si>
    <t>Técnico Superior*</t>
  </si>
  <si>
    <t>Antigüedad</t>
  </si>
  <si>
    <t>De 0 a 4 años</t>
  </si>
  <si>
    <t>De 5 a 9 años</t>
  </si>
  <si>
    <t>De 30 años o más</t>
  </si>
  <si>
    <t>Grupos de Edad</t>
  </si>
  <si>
    <t>De 65 años o más</t>
  </si>
  <si>
    <t>I. Eventos</t>
  </si>
  <si>
    <t>Tipos</t>
  </si>
  <si>
    <t>1. Conferencias</t>
  </si>
  <si>
    <t>2. Exhibiciones</t>
  </si>
  <si>
    <t>3. Exposiciones</t>
  </si>
  <si>
    <t>4. Talleres</t>
  </si>
  <si>
    <t>5. Eventos Culturales y Artísticos</t>
  </si>
  <si>
    <t>6. Eventos Deportivos</t>
  </si>
  <si>
    <t>Eventos</t>
  </si>
  <si>
    <t>II. Obra Editorial</t>
  </si>
  <si>
    <t>Publicaciones</t>
  </si>
  <si>
    <t>Electrónicas o Digitales</t>
  </si>
  <si>
    <t>Otras</t>
  </si>
  <si>
    <t>Títulos</t>
  </si>
  <si>
    <t>Co-ediciones internacionales</t>
  </si>
  <si>
    <t>III. Cursos Extracurriculares</t>
  </si>
  <si>
    <t>Número</t>
  </si>
  <si>
    <t>IV. Servicios a la Comunidad</t>
  </si>
  <si>
    <t>Total de Consultas y Asesorías</t>
  </si>
  <si>
    <t>Especifique:</t>
  </si>
  <si>
    <t>V. Servicio Social, Prácticas Profesionales e intercambio académico</t>
  </si>
  <si>
    <t>Sector</t>
  </si>
  <si>
    <t>Privado</t>
  </si>
  <si>
    <t>Social</t>
  </si>
  <si>
    <t>Al extranjero</t>
  </si>
  <si>
    <t>3. Escriba el número de alumnos de la institución, que realizaron algún tipo de intercambio con valor curricular al extranjero o a otras instituciones del país.</t>
  </si>
  <si>
    <t>Tipo de Intercambio</t>
  </si>
  <si>
    <t>Del extranjero</t>
  </si>
  <si>
    <t>4. Escriba el número de alumnos que vinieron del extranjero o de otras instituciones del país, a realizar algún tipo de intercambio con valor curricular, en la institución .</t>
  </si>
  <si>
    <t>VI. Proyectos de vinculación con las empresas</t>
  </si>
  <si>
    <t>Proyectos de vinculación</t>
  </si>
  <si>
    <t>Prácticas</t>
  </si>
  <si>
    <t>Otro</t>
  </si>
  <si>
    <t>VII. Personal</t>
  </si>
  <si>
    <t>En posgrado incluye estudios de especialidad, maestría y doctorado.</t>
  </si>
  <si>
    <t>Sello</t>
  </si>
  <si>
    <t>Identificación de la Escuela</t>
  </si>
  <si>
    <r>
      <t>Vialidad Principal</t>
    </r>
    <r>
      <rPr>
        <u/>
        <sz val="10"/>
        <color theme="1"/>
        <rFont val="Times New Roman"/>
        <family val="1"/>
      </rPr>
      <t/>
    </r>
  </si>
  <si>
    <t>Número Exterior</t>
  </si>
  <si>
    <t>Número Interior</t>
  </si>
  <si>
    <t>Vialidad Derecha</t>
  </si>
  <si>
    <t>Vialidad Izquierda</t>
  </si>
  <si>
    <t>Asentamiento Humano</t>
  </si>
  <si>
    <t>Los cuestionarios impresos son apoyos para contestar el cuestionario electrónico, o bien, para que los utilicen las instituciones que manifiestan estar en la imposibilidad de contestar el cuestionario electrónico.</t>
  </si>
  <si>
    <t xml:space="preserve">Técnico Superior* </t>
  </si>
  <si>
    <t>Licencia Profesional</t>
  </si>
  <si>
    <t>Licenciatura</t>
  </si>
  <si>
    <t>Con Discapacidad</t>
  </si>
  <si>
    <t>b) El personal reportado en este apartado corresponde a la suma del personal registrado en los cuestionarios 911.9 de facultades, escuelas, centros o departamentos.</t>
  </si>
  <si>
    <t>Subsidio Federal</t>
  </si>
  <si>
    <t>Subsidio Estatal</t>
  </si>
  <si>
    <t>Ingresos Propios</t>
  </si>
  <si>
    <t>Investigación</t>
  </si>
  <si>
    <t>Administración</t>
  </si>
  <si>
    <t>Terminados en el ciclo anterior</t>
  </si>
  <si>
    <t>Desarrollo Experimental</t>
  </si>
  <si>
    <t>Investigación Aplicada</t>
  </si>
  <si>
    <t>Investigación Básica</t>
  </si>
  <si>
    <t>Ciencias Sociales, Administración y Derecho</t>
  </si>
  <si>
    <t>Ciencias Naturales, Exactas y de la Computación</t>
  </si>
  <si>
    <t>Ingeniería, Manufactura y Construcción</t>
  </si>
  <si>
    <t>Agronomía y Veterinaria</t>
  </si>
  <si>
    <t>Tiempo de Dedicación</t>
  </si>
  <si>
    <t>Docente Investigador</t>
  </si>
  <si>
    <t xml:space="preserve">Doctorado Maestría </t>
  </si>
  <si>
    <t>Especialidad</t>
  </si>
  <si>
    <t>De 10 a 14 años</t>
  </si>
  <si>
    <t>De 15 a 19 años</t>
  </si>
  <si>
    <t>De 20 a 24 años</t>
  </si>
  <si>
    <t>De 25 a 29 años</t>
  </si>
  <si>
    <t>Menos de 20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</si>
  <si>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</si>
  <si>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</si>
  <si>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</si>
  <si>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</si>
  <si>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</si>
  <si>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</si>
  <si>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64años</t>
  </si>
  <si>
    <t>Los cuestionarios impresos son apoyos para contestar el cuestionario electrónico, o bien, para que los utilicen las instituciones que manifiestan estar en la contestar el cuestionario electrónico.</t>
  </si>
  <si>
    <t>Módulo de Extención y Difusión</t>
  </si>
  <si>
    <t>Libros</t>
  </si>
  <si>
    <t>Revistas</t>
  </si>
  <si>
    <t>Boletines</t>
  </si>
  <si>
    <t>Diplomados</t>
  </si>
  <si>
    <t>Cursos Cortos</t>
  </si>
  <si>
    <t>Talleres</t>
  </si>
  <si>
    <t>Seminarios</t>
  </si>
  <si>
    <t>Jurídica</t>
  </si>
  <si>
    <t>Vivienda</t>
  </si>
  <si>
    <t>Ecología</t>
  </si>
  <si>
    <t>Público</t>
  </si>
  <si>
    <t>Educativo (Propia Institución)</t>
  </si>
  <si>
    <t>Cursos</t>
  </si>
  <si>
    <t>Estancias</t>
  </si>
  <si>
    <t>De otras Instituciones del país</t>
  </si>
  <si>
    <t>A otras Instituciones del país</t>
  </si>
  <si>
    <t>Sector Público</t>
  </si>
  <si>
    <t>Microempresas</t>
  </si>
  <si>
    <t>Pequeñas empresas</t>
  </si>
  <si>
    <t>Medianas empresas</t>
  </si>
  <si>
    <t>Grandes empresas</t>
  </si>
  <si>
    <t>Investigación y Desarrollo</t>
  </si>
  <si>
    <t>Asesoría Técnica</t>
  </si>
  <si>
    <t>Prácticas Profesionales</t>
  </si>
  <si>
    <t>Educación Continua</t>
  </si>
  <si>
    <t>Servicio Social</t>
  </si>
  <si>
    <t xml:space="preserve">Posgrado </t>
  </si>
  <si>
    <t>De 25 años o más</t>
  </si>
  <si>
    <t>Vialidad Principal</t>
  </si>
  <si>
    <t>Vialidad Posterior</t>
  </si>
  <si>
    <t>Localidad</t>
  </si>
  <si>
    <t>Municipio o Delegación</t>
  </si>
  <si>
    <t>Entidad Federativa</t>
  </si>
  <si>
    <t>Extensión Teléfono</t>
  </si>
  <si>
    <t>Extensión Fax</t>
  </si>
  <si>
    <t>Dependencia Normativa</t>
  </si>
  <si>
    <t>Nombre de la Institución a la que pertenece</t>
  </si>
  <si>
    <t>Nombre del Director de la Escuela</t>
  </si>
  <si>
    <t>Página Web de la Escuela</t>
  </si>
  <si>
    <t>Correo Electronico Responsable llenado</t>
  </si>
  <si>
    <t>H</t>
  </si>
  <si>
    <t>M</t>
  </si>
  <si>
    <t>CD</t>
  </si>
  <si>
    <t>15MSU0945E</t>
  </si>
  <si>
    <t>UNIVERSIDAD MEXIQUENSE DEL BICENTENARIO</t>
  </si>
  <si>
    <t>www.umb.mx</t>
  </si>
  <si>
    <t xml:space="preserve"> </t>
  </si>
  <si>
    <t>MÉXICO</t>
  </si>
  <si>
    <t>Personal en Areas Centrales Directivo</t>
  </si>
  <si>
    <t>Personal en Areas Centrales Administrativo</t>
  </si>
  <si>
    <t>Personal en Areas Centrales Otros</t>
  </si>
  <si>
    <t>Personal en UA Directivo</t>
  </si>
  <si>
    <t>Personal en UA Docente</t>
  </si>
  <si>
    <t>Personal en UA Docente Investigador</t>
  </si>
  <si>
    <t>Personal en UA Investigador</t>
  </si>
  <si>
    <t>Personal en UA Auxiliar de Investigador</t>
  </si>
  <si>
    <t>Personal en UA Administrativo</t>
  </si>
  <si>
    <t>Personal en UA Otros</t>
  </si>
  <si>
    <t>Intercambio Docencia</t>
  </si>
  <si>
    <t>Intercambio Estancias Sabaticas</t>
  </si>
  <si>
    <t xml:space="preserve"> Intercambio Estancias de Invest.</t>
  </si>
  <si>
    <t>Intercambio Congresos o  Even Acad.</t>
  </si>
  <si>
    <t>Intercambio Seminarios de Proyectos Conjuntos</t>
  </si>
  <si>
    <t>Inter. Seminarios de Proyectos Conjuntos</t>
  </si>
  <si>
    <t>Inter. Est. Tutoriales y Exám. Posgrado</t>
  </si>
  <si>
    <t>Subsidio estatal</t>
  </si>
  <si>
    <t>Egresos</t>
  </si>
  <si>
    <t>Centro de costo</t>
  </si>
  <si>
    <t>Comunicado</t>
  </si>
  <si>
    <t>Calendarizado</t>
  </si>
  <si>
    <t>Cuatrimestral</t>
  </si>
  <si>
    <t>Modificado</t>
  </si>
  <si>
    <t>Ejercido</t>
  </si>
  <si>
    <t>En trámite</t>
  </si>
  <si>
    <t>Disponible</t>
  </si>
  <si>
    <t>205BP00000 Universidad Mexiquense del Bicentenario</t>
  </si>
  <si>
    <t>205BP00001 Universidad Mexiquense del Bicentenario</t>
  </si>
  <si>
    <t>205BP00002 Unidad de Estudios Superiores de Tenango del Valle</t>
  </si>
  <si>
    <t>205BP00003 Unidad de Estudios Superiores de Coatepec Harinas</t>
  </si>
  <si>
    <t>205BP00004 Unidad de Estudios Superiores de Sultepec</t>
  </si>
  <si>
    <t>205BP00005 Unidad de Estudios Superiores de Almoloya de Alquisiras</t>
  </si>
  <si>
    <t>205BP00006 Unidad de Estudios Superiores de Temoaya</t>
  </si>
  <si>
    <t>205BP00007 Unidad de Estudios Superiores de San José del Rincón</t>
  </si>
  <si>
    <t>205BP00008 Unidad de Estudios Superiores de Atenco</t>
  </si>
  <si>
    <t>205BP00009 Unidad de Estudios Superiores de Tecámac</t>
  </si>
  <si>
    <t>205BP00010 Unidad de Estudios Superiores de La Paz</t>
  </si>
  <si>
    <t>205BP00011 Unidad de Estudios Superiores de Huixquilucan</t>
  </si>
  <si>
    <t>205BP00012 Unidad de Estudios Superiores de Morelos</t>
  </si>
  <si>
    <t>205BP00013 Unidad de Estudios Superiores de Jilotepec</t>
  </si>
  <si>
    <t>205BP00014 Unidad de Estudios Superiores de Acambay</t>
  </si>
  <si>
    <t>205BP00015 Unidad de Estudios Superiores de Lerma</t>
  </si>
  <si>
    <t>205BP00016 Unidad de Estudios Superiores de Xalatlaco</t>
  </si>
  <si>
    <t>205BP00017 Unidad de Estudios Superiores de Chalco</t>
  </si>
  <si>
    <t>205BP00018 Unidad de Estudios Superiores de Jiquipilco</t>
  </si>
  <si>
    <t>205BP00019 Unidad de Estudios Superiores de Ixtlahuaca</t>
  </si>
  <si>
    <t>205BP00020 Unidad de Estudios Superiores de Tejupilco</t>
  </si>
  <si>
    <t>205BP00021 Unidad de Estudios Superiores de Tlatlaya</t>
  </si>
  <si>
    <t>205BP00022 Unidad de Estudios Superiores de Villa Victoria</t>
  </si>
  <si>
    <t>205BP00023 Unidad de Estudios Superiores de Tultitlán</t>
  </si>
  <si>
    <t>205BP00024 Unidad de Estudios Superiores de Ecatepec</t>
  </si>
  <si>
    <t>205BP00025 Unidad de Estudios Superiores de Ixtapaluca</t>
  </si>
  <si>
    <t>205BP00026 Unidad de Estudios Superiores de Temascalcingo</t>
  </si>
  <si>
    <t>205BP00027 Unidad de Estudios Superiores de Tepotzotlán</t>
  </si>
  <si>
    <t>205BP00028 Centro de Formación y Desarrollo de Nutrición</t>
  </si>
  <si>
    <t>Total sector auxiliar</t>
  </si>
  <si>
    <t>T o t a l</t>
  </si>
  <si>
    <t>Servicio</t>
  </si>
  <si>
    <t>Sostenimiento</t>
  </si>
  <si>
    <t>Nombre del Rector o Director de la Institución</t>
  </si>
  <si>
    <t xml:space="preserve">Página web de la Institución: </t>
  </si>
  <si>
    <t>Correo Electrónico del Responsable de llenado:</t>
  </si>
  <si>
    <t>Nombre de la Institución</t>
  </si>
  <si>
    <t>CARR. MEXICO TOLUCA</t>
  </si>
  <si>
    <t xml:space="preserve">SAN MIGUEL </t>
  </si>
  <si>
    <t>OCOYOACAC</t>
  </si>
  <si>
    <t>SECRETARIA DE EDUCACIÓN</t>
  </si>
  <si>
    <t>SERVICIO</t>
  </si>
  <si>
    <t>SOSTENIMIENTO</t>
  </si>
  <si>
    <t>asesor.planeacion@umb.mx</t>
  </si>
  <si>
    <t>JUAN DE DIOS PEZA</t>
  </si>
  <si>
    <t>EDUCACIÓN SUPERIOR</t>
  </si>
  <si>
    <t>ORGANISMO DESCENTRALIZADO</t>
  </si>
  <si>
    <t>Conferencias</t>
  </si>
  <si>
    <t>Exhibiciones</t>
  </si>
  <si>
    <t>Exposiciones</t>
  </si>
  <si>
    <t>Eventos Culturales y Artísticos</t>
  </si>
  <si>
    <t>Eventos Deportivos</t>
  </si>
  <si>
    <t>Servicios a la Comunidad</t>
  </si>
  <si>
    <t>Especifique</t>
  </si>
  <si>
    <t>Servicio Social Educativo</t>
  </si>
  <si>
    <t>Servicio Social Público</t>
  </si>
  <si>
    <t>Servicio Social Privado</t>
  </si>
  <si>
    <t>Servicio Social social</t>
  </si>
  <si>
    <t>Prácticas Social Educativo</t>
  </si>
  <si>
    <t>Prácticas  Público</t>
  </si>
  <si>
    <t>Prácticas Social Privado</t>
  </si>
  <si>
    <t>Prácticas Social</t>
  </si>
  <si>
    <t>Intercambio Extranjero</t>
  </si>
  <si>
    <t>Intercambio otras instituciones del país</t>
  </si>
  <si>
    <t>Intercambio del Extranjero</t>
  </si>
  <si>
    <t>Intercambio de otras instituciones del país</t>
  </si>
  <si>
    <t>BARRIO</t>
  </si>
  <si>
    <t>Investigación y desarrollo</t>
  </si>
  <si>
    <t>Proyectos de vinculación (Sector Público)</t>
  </si>
  <si>
    <t>Proyectos de vinculación (Microempresas)</t>
  </si>
  <si>
    <t>Proyectos de vinculación (Pequeñas empresas)</t>
  </si>
  <si>
    <t>Proyectos de vinculación (Medianas empresas)</t>
  </si>
  <si>
    <t>Proyectos de vinculación (Grandes empresas)</t>
  </si>
  <si>
    <t>Personal dedicados a las actividades de extensión</t>
  </si>
  <si>
    <t>Tiempo Completo H</t>
  </si>
  <si>
    <t>Tiempo Completo M</t>
  </si>
  <si>
    <t>Tiempo Completo CD</t>
  </si>
  <si>
    <t>Medio Tiempo H</t>
  </si>
  <si>
    <t>Medio Tiempo M</t>
  </si>
  <si>
    <t>Medio Tiempo CD</t>
  </si>
  <si>
    <t>Por Horas H</t>
  </si>
  <si>
    <t>Por Horas M</t>
  </si>
  <si>
    <t>Por Horas CD</t>
  </si>
  <si>
    <t>NE Posgrado H</t>
  </si>
  <si>
    <t>NE Posgrado M</t>
  </si>
  <si>
    <t>NE Posgrado CD</t>
  </si>
  <si>
    <t>NE Licenciatura H</t>
  </si>
  <si>
    <t>NE Licenciatura M</t>
  </si>
  <si>
    <t>NE Licenciatura CD</t>
  </si>
  <si>
    <t>NE Otros H</t>
  </si>
  <si>
    <t>NE Otros M</t>
  </si>
  <si>
    <t>NE Otros CD</t>
  </si>
  <si>
    <t>Antiguedad de 0 a 4 años H</t>
  </si>
  <si>
    <t>Antiguedad de 0 a 4 años M</t>
  </si>
  <si>
    <t>Antiguedad de 0 a 4 años CD</t>
  </si>
  <si>
    <t>NINGUNO</t>
  </si>
  <si>
    <t>KM 43.5</t>
  </si>
  <si>
    <r>
      <t>Cuestionarios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Estadísticos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de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Educación</t>
    </r>
    <r>
      <rPr>
        <b/>
        <sz val="28"/>
        <color theme="1"/>
        <rFont val="Arial"/>
        <family val="2"/>
      </rPr>
      <t xml:space="preserve"> </t>
    </r>
    <r>
      <rPr>
        <b/>
        <shadow/>
        <sz val="28"/>
        <color theme="1"/>
        <rFont val="Arial"/>
        <family val="2"/>
      </rPr>
      <t>Superior</t>
    </r>
  </si>
  <si>
    <r>
      <t xml:space="preserve">Vialidad Posterior </t>
    </r>
    <r>
      <rPr>
        <u/>
        <sz val="10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</si>
  <si>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Localidad </t>
    </r>
    <r>
      <rPr>
        <u/>
        <sz val="10"/>
        <color theme="1"/>
        <rFont val="Arial"/>
        <family val="2"/>
      </rPr>
      <t xml:space="preserve"> </t>
    </r>
  </si>
  <si>
    <r>
      <t xml:space="preserve">Municipio o Delegación </t>
    </r>
    <r>
      <rPr>
        <u/>
        <sz val="10"/>
        <color theme="1"/>
        <rFont val="Arial"/>
        <family val="2"/>
      </rPr>
      <t xml:space="preserve"> </t>
    </r>
  </si>
  <si>
    <r>
      <t xml:space="preserve">Entidad Federativa </t>
    </r>
    <r>
      <rPr>
        <u/>
        <sz val="10"/>
        <color theme="1"/>
        <rFont val="Arial"/>
        <family val="2"/>
      </rPr>
      <t xml:space="preserve"> </t>
    </r>
  </si>
  <si>
    <r>
      <t xml:space="preserve">Dependencia Normativa </t>
    </r>
    <r>
      <rPr>
        <u/>
        <sz val="10"/>
        <color theme="1"/>
        <rFont val="Arial"/>
        <family val="2"/>
      </rPr>
      <t xml:space="preserve"> </t>
    </r>
  </si>
  <si>
    <r>
      <t xml:space="preserve">Importante: </t>
    </r>
    <r>
      <rPr>
        <sz val="10"/>
        <color theme="1"/>
        <rFont val="Arial"/>
        <family val="2"/>
      </rPr>
      <t>La información estadística es una herramienta fundamental para la planeación y la toma acertada de decisiones. Los cuestionarios 911 son los medios para recopilar la información básica de educación superior.</t>
    </r>
  </si>
  <si>
    <r>
      <t xml:space="preserve">1. </t>
    </r>
    <r>
      <rPr>
        <sz val="10"/>
        <color rgb="FF231F20"/>
        <rFont val="Arial"/>
        <family val="2"/>
      </rPr>
      <t>Escriba por modalidad el número de facultades, escuelas, centros, divisiones o departamentos que pertenecen a la institución, según el nivel educativo que corresponda, y el número de alumnos que tienen dichas facultades, escuelas, centros, divisiones o departamentos (no considere el número de carreras).</t>
    </r>
  </si>
  <si>
    <r>
      <t xml:space="preserve">1 . </t>
    </r>
    <r>
      <rPr>
        <sz val="10"/>
        <color rgb="FF231F20"/>
        <rFont val="Arial"/>
        <family val="2"/>
      </rPr>
      <t>Escriba,   de   acuerdo   con   la   función   que desempeña, el número de personas que laboran en las áreas centrales de la institución (rectoría, oficinas, administrativas, centrales, etcétera),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</si>
  <si>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Escriba, de acuerdo con la función que desempeña,   el número de personas que labora en las facultades, escuelas, centros, divisiones o departamentos, desglóselo por sexo e indique cuántos de ellos presentan discapacidad.</t>
    </r>
  </si>
  <si>
    <r>
      <t xml:space="preserve">Docente </t>
    </r>
    <r>
      <rPr>
        <b/>
        <sz val="10"/>
        <color theme="1"/>
        <rFont val="Arial"/>
        <family val="2"/>
      </rPr>
      <t>(No incluya al personal de investigación)</t>
    </r>
  </si>
  <si>
    <r>
      <t xml:space="preserve">Nombre de la Institución </t>
    </r>
    <r>
      <rPr>
        <u/>
        <sz val="12"/>
        <color theme="1"/>
        <rFont val="Arial"/>
        <family val="2"/>
      </rPr>
      <t xml:space="preserve"> </t>
    </r>
  </si>
  <si>
    <r>
      <t xml:space="preserve">1. </t>
    </r>
    <r>
      <rPr>
        <sz val="10"/>
        <color rgb="FF231F20"/>
        <rFont val="Arial"/>
        <family val="2"/>
      </rPr>
      <t>Escriba   la   cantidad   total   de   institutos,   centros, divisiones o áreas donde se realizan actividades de investigación.</t>
    </r>
  </si>
  <si>
    <r>
      <t xml:space="preserve">III. </t>
    </r>
    <r>
      <rPr>
        <b/>
        <sz val="12"/>
        <color rgb="FF231F20"/>
        <rFont val="Arial"/>
        <family val="2"/>
      </rPr>
      <t>Personal de los Institutos, Centros, Divisiones o Áreas de Investigación</t>
    </r>
  </si>
  <si>
    <r>
      <t xml:space="preserve">1. </t>
    </r>
    <r>
      <rPr>
        <sz val="10"/>
        <color rgb="FF231F20"/>
        <rFont val="Arial"/>
        <family val="2"/>
      </rPr>
      <t>Escriba,  de  acuerdo  con  la  función  que desempeñe,  el  número  de  personas  que laboran en los institutos, centros, divisiones o áreas de investigación, independientemente que se haya reportado en el módulo de docencia,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</si>
  <si>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 el número de investigadores, por tiempo de dedicación y nivel de estudios, desglóselo por sexo e indique cuántos de ellos presentan discapacidad.</t>
    </r>
  </si>
  <si>
    <r>
      <t>*</t>
    </r>
    <r>
      <rPr>
        <sz val="9"/>
        <color rgb="FF231F20"/>
        <rFont val="Arial"/>
        <family val="2"/>
      </rPr>
      <t>Incluye técnico superior universitario y profesional asociado.</t>
    </r>
  </si>
  <si>
    <r>
      <t xml:space="preserve">2. </t>
    </r>
    <r>
      <rPr>
        <sz val="10"/>
        <color rgb="FF231F20"/>
        <rFont val="Arial"/>
        <family val="2"/>
      </rPr>
      <t>Escriba el número de investigadores, por rango de antigüedad y grupos de edad,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</si>
  <si>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 el número de eventos que realizó la institución para la promoción de la ciencia, la tecnología, la cultura y las manifestaciones artísticas, según la siguiente tabla.</t>
    </r>
  </si>
  <si>
    <r>
      <t xml:space="preserve">1. </t>
    </r>
    <r>
      <rPr>
        <sz val="10"/>
        <color rgb="FF231F20"/>
        <rFont val="Arial"/>
        <family val="2"/>
      </rPr>
      <t>Escriba el número de títulos de las publicaciones para la divulgación de las ciencias y la tecnología, las artes y humanidades; y mencione cuántas de ellas son co-ediciones internacionales.</t>
    </r>
  </si>
  <si>
    <r>
      <t xml:space="preserve">1. </t>
    </r>
    <r>
      <rPr>
        <sz val="10"/>
        <color rgb="FF231F20"/>
        <rFont val="Arial"/>
        <family val="2"/>
      </rPr>
      <t>Escriba el número de cursos extracurriculares que se impartieron en la escuela y el número de alumnos que los cursaron, desglóselos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</si>
  <si>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 el total de consultas y asesorías por áreas de atención .</t>
    </r>
  </si>
  <si>
    <r>
      <t xml:space="preserve">1. </t>
    </r>
    <r>
      <rPr>
        <sz val="10"/>
        <color rgb="FF231F20"/>
        <rFont val="Arial"/>
        <family val="2"/>
      </rPr>
      <t>Escriba por sector el número de alumnos que realizaron el servicio social, desglóselo por sexo e indique cuántos de ellos presentan discapacidad.</t>
    </r>
  </si>
  <si>
    <r>
      <t xml:space="preserve">2. </t>
    </r>
    <r>
      <rPr>
        <sz val="10"/>
        <color rgb="FF231F20"/>
        <rFont val="Arial"/>
        <family val="2"/>
      </rPr>
      <t>Escriba por sector el número de alumnos que realizaron prácticas profesionales, desglóselo por sexo e indique cuántos de ellos presentan discapacidad.</t>
    </r>
  </si>
  <si>
    <r>
      <t xml:space="preserve">1. </t>
    </r>
    <r>
      <rPr>
        <sz val="10"/>
        <color rgb="FF231F20"/>
        <rFont val="Arial"/>
        <family val="2"/>
      </rPr>
      <t>Escriba, según su tipo, el número de proyectos de vinculación que tiene la institución con empresas.</t>
    </r>
  </si>
  <si>
    <r>
      <t xml:space="preserve">1. </t>
    </r>
    <r>
      <rPr>
        <sz val="10"/>
        <color rgb="FF231F20"/>
        <rFont val="Arial"/>
        <family val="2"/>
      </rPr>
      <t>Escriba el total de personal dedicado a las actividades de extensión, desglóselo por sexo e indique cuántos de ellos presentan discapacidad .</t>
    </r>
  </si>
  <si>
    <r>
      <t xml:space="preserve">2.  </t>
    </r>
    <r>
      <rPr>
        <sz val="10"/>
        <color rgb="FF231F20"/>
        <rFont val="Arial"/>
        <family val="2"/>
      </rPr>
      <t>Escriba el total de personal dedicado a las actividades de extensión por tiempo de dedicación y sexo e indique cuántos de ellos presentan discapacidad.</t>
    </r>
  </si>
  <si>
    <r>
      <t xml:space="preserve">3. </t>
    </r>
    <r>
      <rPr>
        <sz val="10"/>
        <color rgb="FF231F20"/>
        <rFont val="Arial"/>
        <family val="2"/>
      </rPr>
      <t>Escriba el total de personal dedicado a las actividades de extensión por nivel de estudios y sexo e indique cuántos de ellos presentan discapacidad.</t>
    </r>
  </si>
  <si>
    <r>
      <t xml:space="preserve">4.  </t>
    </r>
    <r>
      <rPr>
        <sz val="10"/>
        <color rgb="FF231F20"/>
        <rFont val="Arial"/>
        <family val="2"/>
      </rPr>
      <t>Escriba el total de personal dedicado a las actividades de extensión por antigüedad y sexo e indique cuántos de ellos presentan discapacidad.</t>
    </r>
  </si>
  <si>
    <t>2013-2014</t>
  </si>
  <si>
    <t>Estadística de Educación Superior, por Carrera</t>
  </si>
  <si>
    <t>Inicio de Cursos,  2013-2014</t>
  </si>
  <si>
    <t>Inicio de cursos, 2013-2014</t>
  </si>
  <si>
    <r>
      <t xml:space="preserve">911.10 </t>
    </r>
    <r>
      <rPr>
        <b/>
        <sz val="10"/>
        <color theme="1"/>
        <rFont val="Arial"/>
        <family val="2"/>
      </rPr>
      <t>(Docencia)</t>
    </r>
  </si>
  <si>
    <t>Modalidad no escolarizada (sistema abierto)</t>
  </si>
  <si>
    <r>
      <t xml:space="preserve">Pág. </t>
    </r>
    <r>
      <rPr>
        <u/>
        <sz val="11"/>
        <color theme="1"/>
        <rFont val="Arial"/>
        <family val="2"/>
      </rPr>
      <t>02</t>
    </r>
  </si>
  <si>
    <t>04</t>
  </si>
  <si>
    <r>
      <rPr>
        <b/>
        <sz val="10"/>
        <color theme="1"/>
        <rFont val="Arial"/>
        <family val="2"/>
      </rPr>
      <t>Total de personal en las facultades, escuelas, centros, divisiones o departamentos.</t>
    </r>
    <r>
      <rPr>
        <sz val="10"/>
        <color theme="1"/>
        <rFont val="Arial"/>
        <family val="2"/>
      </rPr>
      <t xml:space="preserve"> </t>
    </r>
    <r>
      <rPr>
        <sz val="10"/>
        <color rgb="FF231F20"/>
        <rFont val="Arial"/>
        <family val="2"/>
      </rPr>
      <t>(Este dato debe ser igual a la suma del personal registrado en los cuestionarios 911.9 de facultades, escuelas, centros, divisiones o departamentos).</t>
    </r>
  </si>
  <si>
    <r>
      <rPr>
        <b/>
        <sz val="10"/>
        <color theme="1"/>
        <rFont val="Arial"/>
        <family val="2"/>
      </rPr>
      <t>Total de personal de la Institución.</t>
    </r>
    <r>
      <rPr>
        <sz val="10"/>
        <color theme="1"/>
        <rFont val="Arial"/>
        <family val="2"/>
      </rPr>
      <t xml:space="preserve"> </t>
    </r>
    <r>
      <rPr>
        <sz val="10"/>
        <color rgb="FF231F20"/>
        <rFont val="Arial"/>
        <family val="2"/>
      </rPr>
      <t>(Este dato debe ser igual a la suma del personal de las áreas centrales más el personal de las facultades, escuelas, centros, divisiones o departamentos).</t>
    </r>
  </si>
  <si>
    <r>
      <t xml:space="preserve">2. Escriba, de acuerdo al tipo de intercambio, el número de docentes e investigadores extranjeros que realizaron algún tipo de estancia en la institución, durante el </t>
    </r>
    <r>
      <rPr>
        <b/>
        <sz val="10"/>
        <color rgb="FF231F20"/>
        <rFont val="Arial"/>
        <family val="2"/>
      </rPr>
      <t>ciclo escolar 2012-2013</t>
    </r>
    <r>
      <rPr>
        <sz val="10"/>
        <color rgb="FF231F20"/>
        <rFont val="Arial"/>
        <family val="2"/>
      </rPr>
      <t>.</t>
    </r>
  </si>
  <si>
    <r>
      <t xml:space="preserve">Pág. </t>
    </r>
    <r>
      <rPr>
        <u/>
        <sz val="11"/>
        <color theme="1"/>
        <rFont val="Arial"/>
        <family val="2"/>
      </rPr>
      <t>03</t>
    </r>
  </si>
  <si>
    <r>
      <t xml:space="preserve">2. </t>
    </r>
    <r>
      <rPr>
        <sz val="10"/>
        <color rgb="FF231F20"/>
        <rFont val="Arial"/>
        <family val="2"/>
      </rPr>
      <t>Escriba  el  gasto  de  la  institución  por función (miles de pesos) en el 2012.</t>
    </r>
  </si>
  <si>
    <r>
      <t xml:space="preserve">1. </t>
    </r>
    <r>
      <rPr>
        <sz val="10"/>
        <color rgb="FF231F20"/>
        <rFont val="Arial"/>
        <family val="2"/>
      </rPr>
      <t>Escriba el monto de los ingresos de la institución por fuentes de financiamiento (miles de pesos) en el 2012.</t>
    </r>
  </si>
  <si>
    <r>
      <t xml:space="preserve">Pág. </t>
    </r>
    <r>
      <rPr>
        <u/>
        <sz val="11"/>
        <color theme="1"/>
        <rFont val="Arial"/>
        <family val="2"/>
      </rPr>
      <t>04</t>
    </r>
  </si>
  <si>
    <r>
      <t>911.10</t>
    </r>
    <r>
      <rPr>
        <b/>
        <sz val="8"/>
        <color theme="1"/>
        <rFont val="Arial"/>
        <family val="2"/>
      </rPr>
      <t xml:space="preserve"> (Investigación)</t>
    </r>
  </si>
  <si>
    <r>
      <t xml:space="preserve">2. Escriba por área de estudio el número de proyectos realizados en el </t>
    </r>
    <r>
      <rPr>
        <b/>
        <sz val="10"/>
        <color rgb="FF231F20"/>
        <rFont val="Arial"/>
        <family val="2"/>
      </rPr>
      <t xml:space="preserve">ciclo escolar 2012-2013 </t>
    </r>
    <r>
      <rPr>
        <sz val="10"/>
        <color rgb="FF231F20"/>
        <rFont val="Arial"/>
        <family val="2"/>
      </rPr>
      <t>o que continúan en proceso.</t>
    </r>
  </si>
  <si>
    <r>
      <t xml:space="preserve">1. </t>
    </r>
    <r>
      <rPr>
        <sz val="10"/>
        <color rgb="FF231F20"/>
        <rFont val="Arial"/>
        <family val="2"/>
      </rPr>
      <t xml:space="preserve">Escriba  por  tipo  de  investigación  el  número  de proyectos realizados en el </t>
    </r>
    <r>
      <rPr>
        <b/>
        <sz val="10"/>
        <color rgb="FF231F20"/>
        <rFont val="Arial"/>
        <family val="2"/>
      </rPr>
      <t>ciclo escolar 2012-2013</t>
    </r>
    <r>
      <rPr>
        <sz val="10"/>
        <color rgb="FF231F20"/>
        <rFont val="Arial"/>
        <family val="2"/>
      </rPr>
      <t>, o que continúan en proceso; de los que continúan en proceso, mencione cuántos se realizan en colaboración con instituciones o académicos extranjeros.</t>
    </r>
  </si>
  <si>
    <r>
      <t>911.10</t>
    </r>
    <r>
      <rPr>
        <b/>
        <sz val="8"/>
        <color theme="1"/>
        <rFont val="Arial"/>
        <family val="2"/>
      </rPr>
      <t xml:space="preserve">                         (Extención y Difusión)</t>
    </r>
  </si>
  <si>
    <t>La información de este módulo, corresponde al ciclo escolar de 2012-2013</t>
  </si>
  <si>
    <t>06</t>
  </si>
  <si>
    <r>
      <t xml:space="preserve">Pág. </t>
    </r>
    <r>
      <rPr>
        <u/>
        <sz val="11"/>
        <color theme="1"/>
        <rFont val="Arial"/>
        <family val="2"/>
      </rPr>
      <t>05</t>
    </r>
  </si>
  <si>
    <r>
      <t xml:space="preserve">Pág. </t>
    </r>
    <r>
      <rPr>
        <u/>
        <sz val="11"/>
        <color theme="1"/>
        <rFont val="Arial"/>
        <family val="2"/>
      </rPr>
      <t>06</t>
    </r>
  </si>
  <si>
    <r>
      <t xml:space="preserve">IMPORTANTE: </t>
    </r>
    <r>
      <rPr>
        <sz val="10"/>
        <color theme="1"/>
        <rFont val="Arial"/>
        <family val="2"/>
      </rPr>
      <t>Firme y selle esta hoja de oficialización.</t>
    </r>
  </si>
  <si>
    <t>Observaciones:</t>
  </si>
  <si>
    <t>911.10</t>
  </si>
  <si>
    <t>Puesto del responsable del llenado</t>
  </si>
  <si>
    <t>Correo electrónico del responsable del llenado</t>
  </si>
  <si>
    <t>Nombre responsable del llenado</t>
  </si>
  <si>
    <t>Correo electronico del responsable del llenado</t>
  </si>
  <si>
    <t>Nombre del ditector de la escuela</t>
  </si>
  <si>
    <t>planeacion.evaluacion@umb.mx</t>
  </si>
  <si>
    <t>MTRO. URIEL GALICIA HERNÁNDEZ</t>
  </si>
  <si>
    <t>LIC. JUAN JOSÉ OLIN FABELA</t>
  </si>
  <si>
    <t>JEFE DE LA UIPPE</t>
  </si>
  <si>
    <t>M. EN A. URIEL GALICIA HERNÁNDEZ</t>
  </si>
  <si>
    <t>Nombre y firma del director de la escuela</t>
  </si>
  <si>
    <t>Presupuesto de egresos 2012</t>
  </si>
  <si>
    <t>E j e r c i d o</t>
  </si>
  <si>
    <t>Proyecto</t>
  </si>
  <si>
    <t>Partida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</si>
  <si>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</si>
  <si>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</si>
  <si>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</si>
  <si>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</si>
  <si>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</si>
  <si>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</si>
  <si>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</si>
  <si>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</si>
  <si>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</si>
  <si>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</si>
  <si>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</si>
  <si>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</si>
  <si>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205BP00001</t>
  </si>
  <si>
    <t>P</t>
  </si>
  <si>
    <t>D</t>
  </si>
  <si>
    <t>205BP00002</t>
  </si>
  <si>
    <t>205BP00003</t>
  </si>
  <si>
    <t>205BP00004</t>
  </si>
  <si>
    <t>205BP00005</t>
  </si>
  <si>
    <t>205BP00006</t>
  </si>
  <si>
    <t>205BP00007</t>
  </si>
  <si>
    <t>205BP00008</t>
  </si>
  <si>
    <t>205BP00009</t>
  </si>
  <si>
    <t>C</t>
  </si>
  <si>
    <t>205BP00010</t>
  </si>
  <si>
    <t>205BP00011</t>
  </si>
  <si>
    <t>205BP00012</t>
  </si>
  <si>
    <t>205BP00013</t>
  </si>
  <si>
    <t>205BP00014</t>
  </si>
  <si>
    <t>205BP00015</t>
  </si>
  <si>
    <t>205BP00016</t>
  </si>
  <si>
    <t>205BP00017</t>
  </si>
  <si>
    <t>205BP00018</t>
  </si>
  <si>
    <t>205BP00019</t>
  </si>
  <si>
    <t>205BP00020</t>
  </si>
  <si>
    <t>205BP00021</t>
  </si>
  <si>
    <t>205BP00022</t>
  </si>
  <si>
    <t>205BP00023</t>
  </si>
  <si>
    <t>205BP00024</t>
  </si>
  <si>
    <t>205BP00025</t>
  </si>
  <si>
    <t>205BP00026</t>
  </si>
  <si>
    <t>205BP00027</t>
  </si>
  <si>
    <t>205BP00028</t>
  </si>
  <si>
    <t>Fuente de financimiento</t>
  </si>
  <si>
    <t>Mensual</t>
  </si>
  <si>
    <t>Ingreso real</t>
  </si>
  <si>
    <t> Disp. al inicio</t>
  </si>
  <si>
    <t> Tranferencia estatal</t>
  </si>
  <si>
    <t> Ingresos propios</t>
  </si>
  <si>
    <t> Transferencia federal</t>
  </si>
  <si>
    <t> Incremento patrimonial</t>
  </si>
  <si>
    <t> Financiamiento</t>
  </si>
  <si>
    <t> Otros</t>
  </si>
  <si>
    <t>MILES DE PESOS</t>
  </si>
  <si>
    <t>DOCENCIA</t>
  </si>
  <si>
    <t>INVESTIGACIÓN</t>
  </si>
  <si>
    <t>EXTENCIÓN</t>
  </si>
  <si>
    <t>ADMINISTRACIÓN</t>
  </si>
  <si>
    <t>OTROS</t>
  </si>
  <si>
    <t>Presupuestos</t>
  </si>
  <si>
    <t>EN BASE A NOMINA</t>
  </si>
  <si>
    <t>Estadística de Educación Superior, por Institución</t>
  </si>
  <si>
    <t>Septiembre,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</si>
</sst>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42" x14ac:knownFonts="1">
    <font>
      <sz val="11"/>
      <color theme="1"/>
      <name val="Calibri"/>
      <family val="2"/>
      <scheme val="minor"/>
    </font>
    <font>
      <u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hadow/>
      <sz val="28"/>
      <color theme="1"/>
      <name val="Arial"/>
      <family val="2"/>
    </font>
    <font>
      <b/>
      <sz val="28"/>
      <color theme="1"/>
      <name val="Arial"/>
      <family val="2"/>
    </font>
    <font>
      <sz val="5"/>
      <color theme="1"/>
      <name val="Arial"/>
      <family val="2"/>
    </font>
    <font>
      <b/>
      <sz val="28"/>
      <name val="Arial"/>
      <family val="2"/>
    </font>
    <font>
      <sz val="6"/>
      <color theme="1"/>
      <name val="Arial"/>
      <family val="2"/>
    </font>
    <font>
      <b/>
      <sz val="18"/>
      <color rgb="FF80808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5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sz val="14"/>
      <color theme="1"/>
      <name val="Arial"/>
      <family val="2"/>
    </font>
    <font>
      <b/>
      <sz val="12"/>
      <color rgb="FF231F20"/>
      <name val="Arial"/>
      <family val="2"/>
    </font>
    <font>
      <sz val="10"/>
      <color rgb="FF231F20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b/>
      <sz val="10"/>
      <color rgb="FF231F2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3"/>
      <color theme="1"/>
      <name val="Arial"/>
      <family val="2"/>
    </font>
    <font>
      <u/>
      <sz val="12"/>
      <color theme="1"/>
      <name val="Arial"/>
      <family val="2"/>
    </font>
    <font>
      <sz val="8.5"/>
      <color theme="1"/>
      <name val="Arial"/>
      <family val="2"/>
    </font>
    <font>
      <sz val="9.5"/>
      <color theme="1"/>
      <name val="Arial"/>
      <family val="2"/>
    </font>
    <font>
      <sz val="5.5"/>
      <color theme="1"/>
      <name val="Arial"/>
      <family val="2"/>
    </font>
    <font>
      <b/>
      <sz val="9"/>
      <color rgb="FF231F20"/>
      <name val="Arial"/>
      <family val="2"/>
    </font>
    <font>
      <sz val="9"/>
      <color rgb="FF231F20"/>
      <name val="Arial"/>
      <family val="2"/>
    </font>
    <font>
      <sz val="7.5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"/>
      <name val="Arial"/>
      <family val="2"/>
    </font>
    <font>
      <sz val="8"/>
      <color rgb="FF231F20"/>
      <name val="Arial"/>
      <family val="2"/>
    </font>
    <font>
      <b/>
      <sz val="7.5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1FFC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293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/>
    <xf numFmtId="0" fontId="5" fillId="0" borderId="0" xfId="1" applyFont="1"/>
    <xf numFmtId="0" fontId="2" fillId="0" borderId="6" xfId="0" applyFont="1" applyBorder="1" applyAlignment="1">
      <alignment vertical="center"/>
    </xf>
    <xf numFmtId="0" fontId="2" fillId="0" borderId="0" xfId="0" applyFont="1" applyBorder="1"/>
    <xf numFmtId="0" fontId="2" fillId="0" borderId="0" xfId="0" applyFont="1" applyBorder="1" applyAlignment="1">
      <alignment vertical="center" wrapText="1"/>
    </xf>
    <xf numFmtId="0" fontId="3" fillId="0" borderId="0" xfId="0" applyFont="1"/>
    <xf numFmtId="4" fontId="3" fillId="0" borderId="0" xfId="0" applyNumberFormat="1" applyFont="1"/>
    <xf numFmtId="0" fontId="3" fillId="0" borderId="0" xfId="0" applyFont="1" applyAlignment="1">
      <alignment horizontal="center" vertical="center"/>
    </xf>
    <xf numFmtId="0" fontId="6" fillId="0" borderId="0" xfId="0" applyFont="1"/>
    <xf numFmtId="4" fontId="6" fillId="0" borderId="0" xfId="0" applyNumberFormat="1" applyFont="1"/>
    <xf numFmtId="43" fontId="2" fillId="0" borderId="0" xfId="2" applyFont="1"/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/>
    <xf numFmtId="0" fontId="8" fillId="0" borderId="1" xfId="0" applyFont="1" applyBorder="1" applyAlignment="1">
      <alignment vertical="center"/>
    </xf>
    <xf numFmtId="0" fontId="9" fillId="0" borderId="2" xfId="0" applyFont="1" applyBorder="1"/>
    <xf numFmtId="0" fontId="9" fillId="0" borderId="3" xfId="0" applyFont="1" applyBorder="1"/>
    <xf numFmtId="0" fontId="8" fillId="0" borderId="4" xfId="0" applyFont="1" applyBorder="1" applyAlignment="1">
      <alignment vertical="center"/>
    </xf>
    <xf numFmtId="0" fontId="9" fillId="0" borderId="0" xfId="0" applyFont="1" applyBorder="1"/>
    <xf numFmtId="0" fontId="9" fillId="0" borderId="5" xfId="0" applyFont="1" applyBorder="1"/>
    <xf numFmtId="0" fontId="10" fillId="0" borderId="4" xfId="0" applyFont="1" applyBorder="1" applyAlignment="1">
      <alignment vertical="center"/>
    </xf>
    <xf numFmtId="0" fontId="9" fillId="0" borderId="4" xfId="0" applyFont="1" applyBorder="1"/>
    <xf numFmtId="0" fontId="13" fillId="0" borderId="4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9" fillId="0" borderId="12" xfId="0" applyFont="1" applyBorder="1"/>
    <xf numFmtId="0" fontId="9" fillId="0" borderId="13" xfId="0" applyFont="1" applyBorder="1"/>
    <xf numFmtId="0" fontId="16" fillId="0" borderId="13" xfId="0" applyFont="1" applyBorder="1" applyAlignment="1">
      <alignment horizontal="left" vertical="center"/>
    </xf>
    <xf numFmtId="0" fontId="9" fillId="0" borderId="14" xfId="0" applyFont="1" applyBorder="1"/>
    <xf numFmtId="0" fontId="10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 vertical="center" indent="1"/>
    </xf>
    <xf numFmtId="0" fontId="9" fillId="0" borderId="8" xfId="0" applyFont="1" applyBorder="1" applyAlignment="1">
      <alignment vertical="center"/>
    </xf>
    <xf numFmtId="0" fontId="9" fillId="0" borderId="8" xfId="0" applyFont="1" applyBorder="1"/>
    <xf numFmtId="0" fontId="9" fillId="0" borderId="9" xfId="0" applyFont="1" applyBorder="1" applyAlignment="1"/>
    <xf numFmtId="0" fontId="9" fillId="0" borderId="8" xfId="0" applyFont="1" applyBorder="1" applyAlignment="1"/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8" fillId="0" borderId="0" xfId="0" applyFont="1" applyBorder="1" applyAlignment="1">
      <alignment horizontal="justify" vertical="center"/>
    </xf>
    <xf numFmtId="0" fontId="9" fillId="0" borderId="10" xfId="0" applyFont="1" applyBorder="1" applyAlignment="1">
      <alignment vertical="center"/>
    </xf>
    <xf numFmtId="164" fontId="9" fillId="0" borderId="8" xfId="2" applyNumberFormat="1" applyFont="1" applyBorder="1" applyAlignment="1">
      <alignment vertical="center"/>
    </xf>
    <xf numFmtId="0" fontId="9" fillId="0" borderId="7" xfId="0" applyFont="1" applyBorder="1" applyAlignment="1"/>
    <xf numFmtId="0" fontId="9" fillId="0" borderId="9" xfId="0" applyFont="1" applyBorder="1"/>
    <xf numFmtId="0" fontId="8" fillId="0" borderId="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23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vertical="top" wrapText="1"/>
    </xf>
    <xf numFmtId="0" fontId="20" fillId="0" borderId="0" xfId="0" applyFont="1" applyBorder="1" applyAlignment="1">
      <alignment horizontal="right" vertical="center"/>
    </xf>
    <xf numFmtId="0" fontId="9" fillId="0" borderId="11" xfId="0" applyFont="1" applyBorder="1"/>
    <xf numFmtId="3" fontId="9" fillId="0" borderId="11" xfId="0" applyNumberFormat="1" applyFont="1" applyBorder="1" applyAlignment="1">
      <alignment horizontal="center" vertical="center"/>
    </xf>
    <xf numFmtId="3" fontId="9" fillId="0" borderId="11" xfId="0" applyNumberFormat="1" applyFont="1" applyBorder="1"/>
    <xf numFmtId="0" fontId="26" fillId="0" borderId="0" xfId="0" applyFont="1" applyBorder="1" applyAlignment="1">
      <alignment vertical="center"/>
    </xf>
    <xf numFmtId="3" fontId="9" fillId="0" borderId="0" xfId="0" applyNumberFormat="1" applyFont="1" applyBorder="1"/>
    <xf numFmtId="3" fontId="9" fillId="0" borderId="11" xfId="0" applyNumberFormat="1" applyFont="1" applyBorder="1" applyAlignment="1">
      <alignment horizontal="center"/>
    </xf>
    <xf numFmtId="0" fontId="17" fillId="0" borderId="0" xfId="0" applyFont="1" applyBorder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4" fillId="0" borderId="0" xfId="0" applyFont="1" applyBorder="1" applyAlignment="1">
      <alignment horizontal="left" vertical="top" wrapText="1"/>
    </xf>
    <xf numFmtId="0" fontId="20" fillId="2" borderId="0" xfId="0" applyFont="1" applyFill="1" applyBorder="1" applyAlignment="1">
      <alignment vertical="center"/>
    </xf>
    <xf numFmtId="0" fontId="9" fillId="2" borderId="0" xfId="0" applyFont="1" applyFill="1" applyBorder="1"/>
    <xf numFmtId="0" fontId="9" fillId="0" borderId="11" xfId="0" applyFont="1" applyBorder="1" applyAlignment="1">
      <alignment horizontal="center"/>
    </xf>
    <xf numFmtId="0" fontId="28" fillId="0" borderId="0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8" fillId="3" borderId="0" xfId="0" applyFont="1" applyFill="1" applyBorder="1" applyAlignment="1">
      <alignment horizontal="left" vertical="top" wrapText="1"/>
    </xf>
    <xf numFmtId="0" fontId="24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30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Border="1" applyAlignment="1">
      <alignment horizontal="justify" vertical="center"/>
    </xf>
    <xf numFmtId="0" fontId="32" fillId="0" borderId="0" xfId="0" applyFont="1" applyBorder="1" applyAlignment="1">
      <alignment vertical="center"/>
    </xf>
    <xf numFmtId="0" fontId="17" fillId="0" borderId="0" xfId="0" applyFont="1" applyAlignment="1">
      <alignment horizontal="right" vertical="center"/>
    </xf>
    <xf numFmtId="0" fontId="20" fillId="0" borderId="0" xfId="0" applyFont="1" applyAlignment="1">
      <alignment vertical="center"/>
    </xf>
    <xf numFmtId="0" fontId="28" fillId="0" borderId="0" xfId="0" applyFont="1" applyBorder="1"/>
    <xf numFmtId="0" fontId="24" fillId="0" borderId="0" xfId="0" applyFont="1" applyBorder="1" applyAlignment="1">
      <alignment horizontal="left" vertical="center"/>
    </xf>
    <xf numFmtId="3" fontId="9" fillId="0" borderId="8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horizontal="left" vertical="center" indent="15"/>
    </xf>
    <xf numFmtId="0" fontId="17" fillId="0" borderId="0" xfId="0" applyFont="1" applyBorder="1" applyAlignment="1">
      <alignment horizontal="left" vertical="top" wrapText="1"/>
    </xf>
    <xf numFmtId="0" fontId="20" fillId="0" borderId="0" xfId="0" applyFont="1" applyAlignment="1">
      <alignment horizontal="right" vertical="center"/>
    </xf>
    <xf numFmtId="0" fontId="9" fillId="0" borderId="0" xfId="0" applyFont="1" applyAlignment="1">
      <alignment horizontal="left"/>
    </xf>
    <xf numFmtId="0" fontId="9" fillId="0" borderId="15" xfId="0" applyFont="1" applyBorder="1"/>
    <xf numFmtId="0" fontId="9" fillId="0" borderId="10" xfId="0" applyFont="1" applyBorder="1"/>
    <xf numFmtId="0" fontId="9" fillId="0" borderId="16" xfId="0" applyFont="1" applyBorder="1"/>
    <xf numFmtId="0" fontId="9" fillId="0" borderId="17" xfId="0" applyFont="1" applyBorder="1"/>
    <xf numFmtId="0" fontId="9" fillId="0" borderId="18" xfId="0" applyFont="1" applyBorder="1"/>
    <xf numFmtId="0" fontId="30" fillId="0" borderId="0" xfId="0" applyFont="1" applyBorder="1" applyAlignment="1">
      <alignment vertical="center"/>
    </xf>
    <xf numFmtId="0" fontId="9" fillId="4" borderId="1" xfId="0" applyFont="1" applyFill="1" applyBorder="1"/>
    <xf numFmtId="0" fontId="9" fillId="4" borderId="2" xfId="0" applyFont="1" applyFill="1" applyBorder="1"/>
    <xf numFmtId="0" fontId="9" fillId="4" borderId="3" xfId="0" applyFont="1" applyFill="1" applyBorder="1"/>
    <xf numFmtId="0" fontId="9" fillId="4" borderId="4" xfId="0" applyFont="1" applyFill="1" applyBorder="1"/>
    <xf numFmtId="0" fontId="9" fillId="4" borderId="0" xfId="0" applyFont="1" applyFill="1" applyBorder="1"/>
    <xf numFmtId="0" fontId="9" fillId="4" borderId="0" xfId="0" applyFont="1" applyFill="1"/>
    <xf numFmtId="0" fontId="17" fillId="4" borderId="5" xfId="0" applyFont="1" applyFill="1" applyBorder="1" applyAlignment="1">
      <alignment horizontal="right" vertical="center"/>
    </xf>
    <xf numFmtId="0" fontId="9" fillId="4" borderId="5" xfId="0" applyFont="1" applyFill="1" applyBorder="1"/>
    <xf numFmtId="0" fontId="18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17" fillId="0" borderId="0" xfId="0" applyFont="1" applyBorder="1" applyAlignment="1">
      <alignment horizontal="center" vertical="center" wrapText="1"/>
    </xf>
    <xf numFmtId="0" fontId="22" fillId="5" borderId="1" xfId="0" applyFont="1" applyFill="1" applyBorder="1" applyAlignment="1">
      <alignment vertical="center"/>
    </xf>
    <xf numFmtId="0" fontId="9" fillId="5" borderId="4" xfId="0" applyFont="1" applyFill="1" applyBorder="1"/>
    <xf numFmtId="0" fontId="9" fillId="5" borderId="2" xfId="0" applyFont="1" applyFill="1" applyBorder="1"/>
    <xf numFmtId="2" fontId="17" fillId="5" borderId="2" xfId="0" applyNumberFormat="1" applyFont="1" applyFill="1" applyBorder="1" applyAlignment="1">
      <alignment horizontal="right" vertical="center"/>
    </xf>
    <xf numFmtId="0" fontId="18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9" fillId="5" borderId="5" xfId="0" applyFont="1" applyFill="1" applyBorder="1"/>
    <xf numFmtId="0" fontId="9" fillId="5" borderId="3" xfId="0" applyFont="1" applyFill="1" applyBorder="1"/>
    <xf numFmtId="0" fontId="18" fillId="5" borderId="5" xfId="0" applyFont="1" applyFill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right"/>
    </xf>
    <xf numFmtId="0" fontId="9" fillId="4" borderId="13" xfId="0" quotePrefix="1" applyFont="1" applyFill="1" applyBorder="1" applyAlignment="1">
      <alignment horizontal="right"/>
    </xf>
    <xf numFmtId="2" fontId="17" fillId="0" borderId="0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horizontal="justify"/>
    </xf>
    <xf numFmtId="0" fontId="25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/>
    </xf>
    <xf numFmtId="0" fontId="8" fillId="0" borderId="0" xfId="0" applyFont="1" applyBorder="1" applyAlignment="1">
      <alignment horizontal="justify" vertical="top" wrapText="1"/>
    </xf>
    <xf numFmtId="0" fontId="38" fillId="0" borderId="0" xfId="0" applyFont="1" applyBorder="1" applyAlignment="1"/>
    <xf numFmtId="0" fontId="28" fillId="0" borderId="0" xfId="0" applyFont="1" applyBorder="1" applyAlignment="1">
      <alignment horizontal="left" vertical="center"/>
    </xf>
    <xf numFmtId="0" fontId="18" fillId="3" borderId="0" xfId="0" applyFont="1" applyFill="1" applyBorder="1" applyAlignment="1">
      <alignment vertical="center"/>
    </xf>
    <xf numFmtId="0" fontId="17" fillId="3" borderId="0" xfId="0" applyFont="1" applyFill="1" applyBorder="1" applyAlignment="1">
      <alignment vertical="center"/>
    </xf>
    <xf numFmtId="0" fontId="18" fillId="0" borderId="0" xfId="0" applyFont="1" applyBorder="1" applyAlignment="1">
      <alignment horizontal="left" vertical="center" indent="15"/>
    </xf>
    <xf numFmtId="0" fontId="17" fillId="0" borderId="0" xfId="0" applyFont="1" applyBorder="1" applyAlignment="1">
      <alignment vertical="top"/>
    </xf>
    <xf numFmtId="0" fontId="24" fillId="0" borderId="0" xfId="0" applyFont="1" applyBorder="1" applyAlignment="1">
      <alignment horizontal="justify" vertical="center"/>
    </xf>
    <xf numFmtId="3" fontId="9" fillId="0" borderId="0" xfId="0" applyNumberFormat="1" applyFont="1" applyBorder="1" applyAlignment="1">
      <alignment horizontal="center" vertical="center"/>
    </xf>
    <xf numFmtId="0" fontId="9" fillId="0" borderId="7" xfId="0" applyFont="1" applyBorder="1"/>
    <xf numFmtId="0" fontId="9" fillId="0" borderId="17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9" fillId="0" borderId="19" xfId="0" applyFont="1" applyBorder="1" applyAlignment="1">
      <alignment vertical="top"/>
    </xf>
    <xf numFmtId="0" fontId="9" fillId="0" borderId="8" xfId="0" applyFont="1" applyBorder="1" applyAlignment="1">
      <alignment vertical="top"/>
    </xf>
    <xf numFmtId="0" fontId="9" fillId="0" borderId="20" xfId="0" applyFont="1" applyBorder="1"/>
    <xf numFmtId="0" fontId="8" fillId="0" borderId="19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9" fillId="4" borderId="12" xfId="0" applyFont="1" applyFill="1" applyBorder="1"/>
    <xf numFmtId="0" fontId="8" fillId="4" borderId="13" xfId="0" applyFont="1" applyFill="1" applyBorder="1" applyAlignment="1">
      <alignment vertical="center"/>
    </xf>
    <xf numFmtId="0" fontId="9" fillId="4" borderId="13" xfId="0" applyFont="1" applyFill="1" applyBorder="1"/>
    <xf numFmtId="0" fontId="9" fillId="4" borderId="14" xfId="0" applyFont="1" applyFill="1" applyBorder="1"/>
    <xf numFmtId="0" fontId="9" fillId="3" borderId="0" xfId="0" applyFont="1" applyFill="1" applyBorder="1"/>
    <xf numFmtId="3" fontId="9" fillId="0" borderId="6" xfId="0" applyNumberFormat="1" applyFont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25" fillId="4" borderId="4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15" fillId="4" borderId="4" xfId="0" applyFont="1" applyFill="1" applyBorder="1" applyAlignment="1">
      <alignment vertical="center"/>
    </xf>
    <xf numFmtId="0" fontId="10" fillId="4" borderId="4" xfId="0" applyFont="1" applyFill="1" applyBorder="1" applyAlignment="1">
      <alignment vertical="center"/>
    </xf>
    <xf numFmtId="0" fontId="26" fillId="4" borderId="4" xfId="0" applyFont="1" applyFill="1" applyBorder="1" applyAlignment="1">
      <alignment vertical="center"/>
    </xf>
    <xf numFmtId="0" fontId="28" fillId="4" borderId="1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30" fillId="4" borderId="4" xfId="0" applyFont="1" applyFill="1" applyBorder="1" applyAlignment="1">
      <alignment vertical="center"/>
    </xf>
    <xf numFmtId="0" fontId="27" fillId="4" borderId="4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8" fillId="4" borderId="12" xfId="0" applyFont="1" applyFill="1" applyBorder="1" applyAlignment="1">
      <alignment vertical="center"/>
    </xf>
    <xf numFmtId="0" fontId="9" fillId="5" borderId="1" xfId="0" applyFont="1" applyFill="1" applyBorder="1"/>
    <xf numFmtId="0" fontId="9" fillId="5" borderId="0" xfId="0" applyFont="1" applyFill="1" applyBorder="1"/>
    <xf numFmtId="0" fontId="9" fillId="5" borderId="0" xfId="0" applyFont="1" applyFill="1"/>
    <xf numFmtId="0" fontId="17" fillId="5" borderId="5" xfId="0" applyFont="1" applyFill="1" applyBorder="1" applyAlignment="1">
      <alignment horizontal="right" vertical="center"/>
    </xf>
    <xf numFmtId="0" fontId="22" fillId="5" borderId="0" xfId="0" applyFont="1" applyFill="1" applyBorder="1" applyAlignment="1">
      <alignment vertical="center"/>
    </xf>
    <xf numFmtId="0" fontId="18" fillId="4" borderId="4" xfId="0" applyFont="1" applyFill="1" applyBorder="1" applyAlignment="1">
      <alignment horizontal="left" vertical="center"/>
    </xf>
    <xf numFmtId="0" fontId="32" fillId="4" borderId="4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left" vertical="center" indent="2"/>
    </xf>
    <xf numFmtId="0" fontId="30" fillId="4" borderId="12" xfId="0" applyFont="1" applyFill="1" applyBorder="1" applyAlignment="1">
      <alignment vertical="center"/>
    </xf>
    <xf numFmtId="0" fontId="33" fillId="4" borderId="4" xfId="0" applyFont="1" applyFill="1" applyBorder="1" applyAlignment="1">
      <alignment vertical="center"/>
    </xf>
    <xf numFmtId="0" fontId="34" fillId="4" borderId="4" xfId="0" applyFont="1" applyFill="1" applyBorder="1" applyAlignment="1">
      <alignment vertical="center"/>
    </xf>
    <xf numFmtId="0" fontId="13" fillId="4" borderId="4" xfId="0" applyFont="1" applyFill="1" applyBorder="1" applyAlignment="1">
      <alignment vertical="center"/>
    </xf>
    <xf numFmtId="0" fontId="24" fillId="4" borderId="4" xfId="0" applyFont="1" applyFill="1" applyBorder="1" applyAlignment="1">
      <alignment horizontal="left" vertical="center" indent="2"/>
    </xf>
    <xf numFmtId="0" fontId="24" fillId="4" borderId="4" xfId="0" applyFont="1" applyFill="1" applyBorder="1" applyAlignment="1">
      <alignment horizontal="justify" vertical="center"/>
    </xf>
    <xf numFmtId="0" fontId="20" fillId="4" borderId="13" xfId="0" applyFont="1" applyFill="1" applyBorder="1" applyAlignment="1">
      <alignment vertical="center"/>
    </xf>
    <xf numFmtId="0" fontId="8" fillId="4" borderId="13" xfId="0" applyFont="1" applyFill="1" applyBorder="1" applyAlignment="1">
      <alignment horizontal="left" vertical="top" wrapText="1"/>
    </xf>
    <xf numFmtId="0" fontId="17" fillId="4" borderId="4" xfId="0" applyFont="1" applyFill="1" applyBorder="1" applyAlignment="1">
      <alignment horizontal="left" vertical="center" indent="9"/>
    </xf>
    <xf numFmtId="0" fontId="37" fillId="4" borderId="4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left" vertical="center" indent="15"/>
    </xf>
    <xf numFmtId="0" fontId="28" fillId="4" borderId="4" xfId="0" applyFont="1" applyFill="1" applyBorder="1" applyAlignment="1">
      <alignment vertical="center"/>
    </xf>
    <xf numFmtId="0" fontId="24" fillId="4" borderId="4" xfId="0" applyFont="1" applyFill="1" applyBorder="1" applyAlignment="1">
      <alignment vertical="center"/>
    </xf>
    <xf numFmtId="0" fontId="17" fillId="4" borderId="12" xfId="0" applyFont="1" applyFill="1" applyBorder="1" applyAlignment="1">
      <alignment horizontal="righ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/>
    </xf>
    <xf numFmtId="0" fontId="8" fillId="4" borderId="12" xfId="0" applyFont="1" applyFill="1" applyBorder="1" applyAlignment="1">
      <alignment horizontal="left" vertical="center"/>
    </xf>
    <xf numFmtId="0" fontId="17" fillId="4" borderId="4" xfId="0" applyFont="1" applyFill="1" applyBorder="1" applyAlignment="1">
      <alignment horizontal="right" vertical="center"/>
    </xf>
    <xf numFmtId="0" fontId="41" fillId="6" borderId="0" xfId="0" applyFont="1" applyFill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right" vertical="center" wrapText="1"/>
    </xf>
    <xf numFmtId="4" fontId="0" fillId="0" borderId="0" xfId="0" applyNumberFormat="1"/>
    <xf numFmtId="4" fontId="37" fillId="0" borderId="0" xfId="0" applyNumberFormat="1" applyFont="1" applyAlignment="1">
      <alignment horizontal="right" vertical="center" wrapText="1"/>
    </xf>
    <xf numFmtId="3" fontId="0" fillId="0" borderId="0" xfId="0" applyNumberFormat="1"/>
    <xf numFmtId="2" fontId="0" fillId="0" borderId="0" xfId="0" applyNumberFormat="1"/>
    <xf numFmtId="1" fontId="0" fillId="0" borderId="0" xfId="0" applyNumberFormat="1"/>
    <xf numFmtId="1" fontId="2" fillId="0" borderId="0" xfId="0" applyNumberFormat="1" applyFont="1"/>
    <xf numFmtId="0" fontId="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justify"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8" fillId="4" borderId="0" xfId="0" applyFont="1" applyFill="1" applyBorder="1" applyAlignment="1">
      <alignment horizontal="justify" vertical="top" wrapText="1"/>
    </xf>
    <xf numFmtId="0" fontId="18" fillId="4" borderId="0" xfId="0" applyFont="1" applyFill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justify" vertical="top" wrapText="1"/>
    </xf>
    <xf numFmtId="3" fontId="9" fillId="0" borderId="6" xfId="0" applyNumberFormat="1" applyFont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top" wrapText="1"/>
    </xf>
    <xf numFmtId="0" fontId="17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18" fillId="5" borderId="0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top" wrapText="1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7" fillId="0" borderId="0" xfId="0" applyFont="1" applyBorder="1" applyAlignment="1">
      <alignment horizontal="justify" vertical="top" wrapText="1"/>
    </xf>
    <xf numFmtId="0" fontId="20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center" wrapText="1"/>
    </xf>
    <xf numFmtId="0" fontId="38" fillId="0" borderId="8" xfId="0" applyFont="1" applyBorder="1" applyAlignment="1">
      <alignment horizontal="center" wrapText="1"/>
    </xf>
    <xf numFmtId="0" fontId="23" fillId="0" borderId="0" xfId="0" applyFont="1" applyBorder="1" applyAlignment="1">
      <alignment horizontal="justify" vertical="center" wrapText="1"/>
    </xf>
    <xf numFmtId="0" fontId="29" fillId="0" borderId="0" xfId="0" applyFont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wrapText="1"/>
    </xf>
    <xf numFmtId="0" fontId="36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justify" vertical="top" wrapText="1"/>
    </xf>
    <xf numFmtId="0" fontId="19" fillId="4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right" vertical="center" wrapText="1"/>
    </xf>
    <xf numFmtId="0" fontId="20" fillId="0" borderId="0" xfId="0" applyFont="1" applyBorder="1" applyAlignment="1">
      <alignment horizontal="left" vertical="center"/>
    </xf>
    <xf numFmtId="0" fontId="27" fillId="4" borderId="0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left"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8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left" vertical="center"/>
    </xf>
    <xf numFmtId="0" fontId="27" fillId="2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3" fontId="9" fillId="0" borderId="8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right" vertical="center"/>
    </xf>
    <xf numFmtId="0" fontId="10" fillId="0" borderId="18" xfId="0" applyFont="1" applyBorder="1" applyAlignment="1">
      <alignment horizontal="right" vertical="center"/>
    </xf>
    <xf numFmtId="0" fontId="9" fillId="0" borderId="0" xfId="0" applyFont="1" applyBorder="1" applyAlignment="1">
      <alignment horizontal="center"/>
    </xf>
    <xf numFmtId="1" fontId="9" fillId="0" borderId="6" xfId="0" applyNumberFormat="1" applyFont="1" applyBorder="1" applyAlignment="1">
      <alignment horizontal="center" vertical="center"/>
    </xf>
    <xf numFmtId="1" fontId="9" fillId="0" borderId="7" xfId="0" applyNumberFormat="1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7" fillId="0" borderId="0" xfId="0" quotePrefix="1" applyFont="1" applyBorder="1" applyAlignment="1">
      <alignment horizontal="right" vertical="center" wrapText="1"/>
    </xf>
    <xf numFmtId="0" fontId="17" fillId="0" borderId="1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right" vertical="center"/>
    </xf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36</xdr:row>
      <xdr:rowOff>104774</xdr:rowOff>
    </xdr:from>
    <xdr:to>
      <xdr:col>4</xdr:col>
      <xdr:colOff>371475</xdr:colOff>
      <xdr:row>41</xdr:row>
      <xdr:rowOff>133349</xdr:rowOff>
    </xdr:to>
    <xdr:grpSp>
      <xdr:nvGrpSpPr>
        <xdr:cNvPr id="2" name="1 Grupo"/>
        <xdr:cNvGrpSpPr/>
      </xdr:nvGrpSpPr>
      <xdr:grpSpPr>
        <a:xfrm>
          <a:off x="257175" y="7258049"/>
          <a:ext cx="2038350" cy="1095375"/>
          <a:chOff x="257175" y="7534275"/>
          <a:chExt cx="1771650" cy="1009650"/>
        </a:xfrm>
      </xdr:grpSpPr>
      <xdr:pic>
        <xdr:nvPicPr>
          <xdr:cNvPr id="2658" name="2657 Imagen" descr="http://www.cecytpue.edu.mx/Noticias/images/inegi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" y="7534275"/>
            <a:ext cx="1379928" cy="1009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59" name="2658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2591" y="7765801"/>
            <a:ext cx="436234" cy="6162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361949</xdr:colOff>
      <xdr:row>2</xdr:row>
      <xdr:rowOff>123825</xdr:rowOff>
    </xdr:from>
    <xdr:to>
      <xdr:col>3</xdr:col>
      <xdr:colOff>361950</xdr:colOff>
      <xdr:row>7</xdr:row>
      <xdr:rowOff>168107</xdr:rowOff>
    </xdr:to>
    <xdr:pic>
      <xdr:nvPicPr>
        <xdr:cNvPr id="315" name="31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49" y="504825"/>
          <a:ext cx="762001" cy="99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47625</xdr:colOff>
      <xdr:row>3</xdr:row>
      <xdr:rowOff>47625</xdr:rowOff>
    </xdr:from>
    <xdr:to>
      <xdr:col>14</xdr:col>
      <xdr:colOff>542925</xdr:colOff>
      <xdr:row>6</xdr:row>
      <xdr:rowOff>123824</xdr:rowOff>
    </xdr:to>
    <xdr:pic>
      <xdr:nvPicPr>
        <xdr:cNvPr id="31" name="30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7439025" y="628650"/>
          <a:ext cx="2009775" cy="61912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161925</xdr:colOff>
      <xdr:row>39</xdr:row>
      <xdr:rowOff>66675</xdr:rowOff>
    </xdr:from>
    <xdr:to>
      <xdr:col>3</xdr:col>
      <xdr:colOff>247650</xdr:colOff>
      <xdr:row>39</xdr:row>
      <xdr:rowOff>66675</xdr:rowOff>
    </xdr:to>
    <xdr:grpSp>
      <xdr:nvGrpSpPr>
        <xdr:cNvPr id="35" name="Group 3578"/>
        <xdr:cNvGrpSpPr>
          <a:grpSpLocks/>
        </xdr:cNvGrpSpPr>
      </xdr:nvGrpSpPr>
      <xdr:grpSpPr bwMode="auto">
        <a:xfrm>
          <a:off x="1247775" y="7829550"/>
          <a:ext cx="85725" cy="0"/>
          <a:chOff x="2189" y="1233"/>
          <a:chExt cx="132" cy="2"/>
        </a:xfrm>
      </xdr:grpSpPr>
      <xdr:sp macro="" textlink="">
        <xdr:nvSpPr>
          <xdr:cNvPr id="36" name="Freeform 3579"/>
          <xdr:cNvSpPr>
            <a:spLocks/>
          </xdr:cNvSpPr>
        </xdr:nvSpPr>
        <xdr:spPr bwMode="auto">
          <a:xfrm>
            <a:off x="2189" y="1233"/>
            <a:ext cx="132" cy="2"/>
          </a:xfrm>
          <a:custGeom>
            <a:avLst/>
            <a:gdLst>
              <a:gd name="T0" fmla="+- 0 2321 2189"/>
              <a:gd name="T1" fmla="*/ T0 w 132"/>
              <a:gd name="T2" fmla="+- 0 2189 2189"/>
              <a:gd name="T3" fmla="*/ T2 w 132"/>
              <a:gd name="T4" fmla="+- 0 2321 2189"/>
              <a:gd name="T5" fmla="*/ T4 w 132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32">
                <a:moveTo>
                  <a:pt x="132" y="0"/>
                </a:moveTo>
                <a:lnTo>
                  <a:pt x="0" y="0"/>
                </a:lnTo>
                <a:lnTo>
                  <a:pt x="132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19050</xdr:colOff>
      <xdr:row>39</xdr:row>
      <xdr:rowOff>66675</xdr:rowOff>
    </xdr:from>
    <xdr:to>
      <xdr:col>3</xdr:col>
      <xdr:colOff>85725</xdr:colOff>
      <xdr:row>39</xdr:row>
      <xdr:rowOff>66675</xdr:rowOff>
    </xdr:to>
    <xdr:grpSp>
      <xdr:nvGrpSpPr>
        <xdr:cNvPr id="37" name="Group 3582"/>
        <xdr:cNvGrpSpPr>
          <a:grpSpLocks/>
        </xdr:cNvGrpSpPr>
      </xdr:nvGrpSpPr>
      <xdr:grpSpPr bwMode="auto">
        <a:xfrm>
          <a:off x="1104900" y="7829550"/>
          <a:ext cx="66675" cy="0"/>
          <a:chOff x="1967" y="1233"/>
          <a:chExt cx="110" cy="2"/>
        </a:xfrm>
      </xdr:grpSpPr>
      <xdr:sp macro="" textlink="">
        <xdr:nvSpPr>
          <xdr:cNvPr id="38" name="Freeform 3583"/>
          <xdr:cNvSpPr>
            <a:spLocks/>
          </xdr:cNvSpPr>
        </xdr:nvSpPr>
        <xdr:spPr bwMode="auto">
          <a:xfrm>
            <a:off x="1967" y="1233"/>
            <a:ext cx="110" cy="2"/>
          </a:xfrm>
          <a:custGeom>
            <a:avLst/>
            <a:gdLst>
              <a:gd name="T0" fmla="+- 0 2077 1967"/>
              <a:gd name="T1" fmla="*/ T0 w 110"/>
              <a:gd name="T2" fmla="+- 0 1967 1967"/>
              <a:gd name="T3" fmla="*/ T2 w 110"/>
              <a:gd name="T4" fmla="+- 0 2077 1967"/>
              <a:gd name="T5" fmla="*/ T4 w 110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10">
                <a:moveTo>
                  <a:pt x="110" y="0"/>
                </a:moveTo>
                <a:lnTo>
                  <a:pt x="0" y="0"/>
                </a:lnTo>
                <a:lnTo>
                  <a:pt x="11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12</xdr:col>
      <xdr:colOff>238125</xdr:colOff>
      <xdr:row>38</xdr:row>
      <xdr:rowOff>19051</xdr:rowOff>
    </xdr:from>
    <xdr:to>
      <xdr:col>14</xdr:col>
      <xdr:colOff>723900</xdr:colOff>
      <xdr:row>40</xdr:row>
      <xdr:rowOff>133350</xdr:rowOff>
    </xdr:to>
    <xdr:pic>
      <xdr:nvPicPr>
        <xdr:cNvPr id="39" name="38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7458075" y="390526"/>
          <a:ext cx="2009775" cy="61912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104775</xdr:colOff>
      <xdr:row>180</xdr:row>
      <xdr:rowOff>104774</xdr:rowOff>
    </xdr:from>
    <xdr:to>
      <xdr:col>4</xdr:col>
      <xdr:colOff>371475</xdr:colOff>
      <xdr:row>185</xdr:row>
      <xdr:rowOff>133349</xdr:rowOff>
    </xdr:to>
    <xdr:grpSp>
      <xdr:nvGrpSpPr>
        <xdr:cNvPr id="56" name="55 Grupo"/>
        <xdr:cNvGrpSpPr/>
      </xdr:nvGrpSpPr>
      <xdr:grpSpPr>
        <a:xfrm>
          <a:off x="257175" y="36652199"/>
          <a:ext cx="2038350" cy="1095375"/>
          <a:chOff x="257175" y="7534275"/>
          <a:chExt cx="1771650" cy="1009650"/>
        </a:xfrm>
      </xdr:grpSpPr>
      <xdr:pic>
        <xdr:nvPicPr>
          <xdr:cNvPr id="57" name="56 Imagen" descr="http://www.cecytpue.edu.mx/Noticias/images/inegi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" y="7534275"/>
            <a:ext cx="1379928" cy="1009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8" name="57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2591" y="7765801"/>
            <a:ext cx="436234" cy="6162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161925</xdr:colOff>
      <xdr:row>183</xdr:row>
      <xdr:rowOff>66675</xdr:rowOff>
    </xdr:from>
    <xdr:to>
      <xdr:col>3</xdr:col>
      <xdr:colOff>247650</xdr:colOff>
      <xdr:row>183</xdr:row>
      <xdr:rowOff>66675</xdr:rowOff>
    </xdr:to>
    <xdr:grpSp>
      <xdr:nvGrpSpPr>
        <xdr:cNvPr id="59" name="Group 3578"/>
        <xdr:cNvGrpSpPr>
          <a:grpSpLocks/>
        </xdr:cNvGrpSpPr>
      </xdr:nvGrpSpPr>
      <xdr:grpSpPr bwMode="auto">
        <a:xfrm>
          <a:off x="1247775" y="37223700"/>
          <a:ext cx="85725" cy="0"/>
          <a:chOff x="2189" y="1233"/>
          <a:chExt cx="132" cy="2"/>
        </a:xfrm>
      </xdr:grpSpPr>
      <xdr:sp macro="" textlink="">
        <xdr:nvSpPr>
          <xdr:cNvPr id="60" name="Freeform 3579"/>
          <xdr:cNvSpPr>
            <a:spLocks/>
          </xdr:cNvSpPr>
        </xdr:nvSpPr>
        <xdr:spPr bwMode="auto">
          <a:xfrm>
            <a:off x="2189" y="1233"/>
            <a:ext cx="132" cy="2"/>
          </a:xfrm>
          <a:custGeom>
            <a:avLst/>
            <a:gdLst>
              <a:gd name="T0" fmla="+- 0 2321 2189"/>
              <a:gd name="T1" fmla="*/ T0 w 132"/>
              <a:gd name="T2" fmla="+- 0 2189 2189"/>
              <a:gd name="T3" fmla="*/ T2 w 132"/>
              <a:gd name="T4" fmla="+- 0 2321 2189"/>
              <a:gd name="T5" fmla="*/ T4 w 132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32">
                <a:moveTo>
                  <a:pt x="132" y="0"/>
                </a:moveTo>
                <a:lnTo>
                  <a:pt x="0" y="0"/>
                </a:lnTo>
                <a:lnTo>
                  <a:pt x="132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19050</xdr:colOff>
      <xdr:row>183</xdr:row>
      <xdr:rowOff>66675</xdr:rowOff>
    </xdr:from>
    <xdr:to>
      <xdr:col>3</xdr:col>
      <xdr:colOff>85725</xdr:colOff>
      <xdr:row>183</xdr:row>
      <xdr:rowOff>66675</xdr:rowOff>
    </xdr:to>
    <xdr:grpSp>
      <xdr:nvGrpSpPr>
        <xdr:cNvPr id="61" name="Group 3582"/>
        <xdr:cNvGrpSpPr>
          <a:grpSpLocks/>
        </xdr:cNvGrpSpPr>
      </xdr:nvGrpSpPr>
      <xdr:grpSpPr bwMode="auto">
        <a:xfrm>
          <a:off x="1104900" y="37223700"/>
          <a:ext cx="66675" cy="0"/>
          <a:chOff x="1967" y="1233"/>
          <a:chExt cx="110" cy="2"/>
        </a:xfrm>
      </xdr:grpSpPr>
      <xdr:sp macro="" textlink="">
        <xdr:nvSpPr>
          <xdr:cNvPr id="62" name="Freeform 3583"/>
          <xdr:cNvSpPr>
            <a:spLocks/>
          </xdr:cNvSpPr>
        </xdr:nvSpPr>
        <xdr:spPr bwMode="auto">
          <a:xfrm>
            <a:off x="1967" y="1233"/>
            <a:ext cx="110" cy="2"/>
          </a:xfrm>
          <a:custGeom>
            <a:avLst/>
            <a:gdLst>
              <a:gd name="T0" fmla="+- 0 2077 1967"/>
              <a:gd name="T1" fmla="*/ T0 w 110"/>
              <a:gd name="T2" fmla="+- 0 1967 1967"/>
              <a:gd name="T3" fmla="*/ T2 w 110"/>
              <a:gd name="T4" fmla="+- 0 2077 1967"/>
              <a:gd name="T5" fmla="*/ T4 w 110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10">
                <a:moveTo>
                  <a:pt x="110" y="0"/>
                </a:moveTo>
                <a:lnTo>
                  <a:pt x="0" y="0"/>
                </a:lnTo>
                <a:lnTo>
                  <a:pt x="11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12</xdr:col>
      <xdr:colOff>238125</xdr:colOff>
      <xdr:row>182</xdr:row>
      <xdr:rowOff>19051</xdr:rowOff>
    </xdr:from>
    <xdr:to>
      <xdr:col>14</xdr:col>
      <xdr:colOff>723900</xdr:colOff>
      <xdr:row>184</xdr:row>
      <xdr:rowOff>133350</xdr:rowOff>
    </xdr:to>
    <xdr:pic>
      <xdr:nvPicPr>
        <xdr:cNvPr id="63" name="62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8296275" y="7553326"/>
          <a:ext cx="2000250" cy="57149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104775</xdr:colOff>
      <xdr:row>327</xdr:row>
      <xdr:rowOff>104774</xdr:rowOff>
    </xdr:from>
    <xdr:to>
      <xdr:col>4</xdr:col>
      <xdr:colOff>371475</xdr:colOff>
      <xdr:row>332</xdr:row>
      <xdr:rowOff>133349</xdr:rowOff>
    </xdr:to>
    <xdr:grpSp>
      <xdr:nvGrpSpPr>
        <xdr:cNvPr id="64" name="63 Grupo"/>
        <xdr:cNvGrpSpPr/>
      </xdr:nvGrpSpPr>
      <xdr:grpSpPr>
        <a:xfrm>
          <a:off x="257175" y="64855724"/>
          <a:ext cx="2038350" cy="1095375"/>
          <a:chOff x="257175" y="7534275"/>
          <a:chExt cx="1771650" cy="1009650"/>
        </a:xfrm>
      </xdr:grpSpPr>
      <xdr:pic>
        <xdr:nvPicPr>
          <xdr:cNvPr id="65" name="64 Imagen" descr="http://www.cecytpue.edu.mx/Noticias/images/inegi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" y="7534275"/>
            <a:ext cx="1379928" cy="10096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6" name="65 Imagen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92591" y="7765801"/>
            <a:ext cx="436234" cy="6162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161925</xdr:colOff>
      <xdr:row>330</xdr:row>
      <xdr:rowOff>66675</xdr:rowOff>
    </xdr:from>
    <xdr:to>
      <xdr:col>3</xdr:col>
      <xdr:colOff>247650</xdr:colOff>
      <xdr:row>330</xdr:row>
      <xdr:rowOff>66675</xdr:rowOff>
    </xdr:to>
    <xdr:grpSp>
      <xdr:nvGrpSpPr>
        <xdr:cNvPr id="67" name="Group 3578"/>
        <xdr:cNvGrpSpPr>
          <a:grpSpLocks/>
        </xdr:cNvGrpSpPr>
      </xdr:nvGrpSpPr>
      <xdr:grpSpPr bwMode="auto">
        <a:xfrm>
          <a:off x="1247775" y="65427225"/>
          <a:ext cx="85725" cy="0"/>
          <a:chOff x="2189" y="1233"/>
          <a:chExt cx="132" cy="2"/>
        </a:xfrm>
      </xdr:grpSpPr>
      <xdr:sp macro="" textlink="">
        <xdr:nvSpPr>
          <xdr:cNvPr id="68" name="Freeform 3579"/>
          <xdr:cNvSpPr>
            <a:spLocks/>
          </xdr:cNvSpPr>
        </xdr:nvSpPr>
        <xdr:spPr bwMode="auto">
          <a:xfrm>
            <a:off x="2189" y="1233"/>
            <a:ext cx="132" cy="2"/>
          </a:xfrm>
          <a:custGeom>
            <a:avLst/>
            <a:gdLst>
              <a:gd name="T0" fmla="+- 0 2321 2189"/>
              <a:gd name="T1" fmla="*/ T0 w 132"/>
              <a:gd name="T2" fmla="+- 0 2189 2189"/>
              <a:gd name="T3" fmla="*/ T2 w 132"/>
              <a:gd name="T4" fmla="+- 0 2321 2189"/>
              <a:gd name="T5" fmla="*/ T4 w 132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32">
                <a:moveTo>
                  <a:pt x="132" y="0"/>
                </a:moveTo>
                <a:lnTo>
                  <a:pt x="0" y="0"/>
                </a:lnTo>
                <a:lnTo>
                  <a:pt x="132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3</xdr:col>
      <xdr:colOff>19050</xdr:colOff>
      <xdr:row>330</xdr:row>
      <xdr:rowOff>66675</xdr:rowOff>
    </xdr:from>
    <xdr:to>
      <xdr:col>3</xdr:col>
      <xdr:colOff>85725</xdr:colOff>
      <xdr:row>330</xdr:row>
      <xdr:rowOff>66675</xdr:rowOff>
    </xdr:to>
    <xdr:grpSp>
      <xdr:nvGrpSpPr>
        <xdr:cNvPr id="69" name="Group 3582"/>
        <xdr:cNvGrpSpPr>
          <a:grpSpLocks/>
        </xdr:cNvGrpSpPr>
      </xdr:nvGrpSpPr>
      <xdr:grpSpPr bwMode="auto">
        <a:xfrm>
          <a:off x="1104900" y="65427225"/>
          <a:ext cx="66675" cy="0"/>
          <a:chOff x="1967" y="1233"/>
          <a:chExt cx="110" cy="2"/>
        </a:xfrm>
      </xdr:grpSpPr>
      <xdr:sp macro="" textlink="">
        <xdr:nvSpPr>
          <xdr:cNvPr id="70" name="Freeform 3583"/>
          <xdr:cNvSpPr>
            <a:spLocks/>
          </xdr:cNvSpPr>
        </xdr:nvSpPr>
        <xdr:spPr bwMode="auto">
          <a:xfrm>
            <a:off x="1967" y="1233"/>
            <a:ext cx="110" cy="2"/>
          </a:xfrm>
          <a:custGeom>
            <a:avLst/>
            <a:gdLst>
              <a:gd name="T0" fmla="+- 0 2077 1967"/>
              <a:gd name="T1" fmla="*/ T0 w 110"/>
              <a:gd name="T2" fmla="+- 0 1967 1967"/>
              <a:gd name="T3" fmla="*/ T2 w 110"/>
              <a:gd name="T4" fmla="+- 0 2077 1967"/>
              <a:gd name="T5" fmla="*/ T4 w 110"/>
            </a:gdLst>
            <a:ahLst/>
            <a:cxnLst>
              <a:cxn ang="0">
                <a:pos x="T1" y="0"/>
              </a:cxn>
              <a:cxn ang="0">
                <a:pos x="T3" y="0"/>
              </a:cxn>
              <a:cxn ang="0">
                <a:pos x="T5" y="0"/>
              </a:cxn>
            </a:cxnLst>
            <a:rect l="0" t="0" r="r" b="b"/>
            <a:pathLst>
              <a:path w="110">
                <a:moveTo>
                  <a:pt x="110" y="0"/>
                </a:moveTo>
                <a:lnTo>
                  <a:pt x="0" y="0"/>
                </a:lnTo>
                <a:lnTo>
                  <a:pt x="11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12</xdr:col>
      <xdr:colOff>238125</xdr:colOff>
      <xdr:row>329</xdr:row>
      <xdr:rowOff>19051</xdr:rowOff>
    </xdr:from>
    <xdr:to>
      <xdr:col>14</xdr:col>
      <xdr:colOff>723900</xdr:colOff>
      <xdr:row>331</xdr:row>
      <xdr:rowOff>133350</xdr:rowOff>
    </xdr:to>
    <xdr:pic>
      <xdr:nvPicPr>
        <xdr:cNvPr id="71" name="70 Imagen" descr="C:\Users\juan.hernandez\Desktop\FormatoPapeleria\HORIZONTAL\SEP_horizontal_ALTA-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15" b="36956"/>
        <a:stretch/>
      </xdr:blipFill>
      <xdr:spPr bwMode="auto">
        <a:xfrm>
          <a:off x="8220075" y="36947476"/>
          <a:ext cx="2000250" cy="57149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esor.planeacion@umb.mx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4"/>
  <sheetViews>
    <sheetView showGridLines="0" tabSelected="1" zoomScaleNormal="100" workbookViewId="0">
      <selection activeCell="O33" sqref="O33"/>
    </sheetView>
  </sheetViews>
  <sheetFormatPr baseColWidth="10" defaultRowHeight="14.25" x14ac:dyDescent="0.2"/>
  <cols>
    <col min="1" max="1" width="2.28515625" style="19" customWidth="1"/>
    <col min="2" max="2" width="2" style="19" customWidth="1"/>
    <col min="3" max="3" width="12" style="19" customWidth="1"/>
    <col min="4" max="4" width="12.5703125" style="19" customWidth="1"/>
    <col min="5" max="5" width="12.28515625" style="19" customWidth="1"/>
    <col min="6" max="6" width="11.7109375" style="19" customWidth="1"/>
    <col min="7" max="7" width="1.5703125" style="19" customWidth="1"/>
    <col min="8" max="8" width="13.5703125" style="19" customWidth="1"/>
    <col min="9" max="9" width="11.5703125" style="19" bestFit="1" customWidth="1"/>
    <col min="10" max="10" width="14.140625" style="19" customWidth="1"/>
    <col min="11" max="11" width="14.42578125" style="19" customWidth="1"/>
    <col min="12" max="13" width="11.5703125" style="19" bestFit="1" customWidth="1"/>
    <col min="14" max="14" width="11.140625" style="19" customWidth="1"/>
    <col min="15" max="15" width="12.5703125" style="19" customWidth="1"/>
    <col min="16" max="16" width="1.7109375" style="19" customWidth="1"/>
    <col min="17" max="16384" width="11.42578125" style="19"/>
  </cols>
  <sheetData>
    <row r="1" spans="2:16" ht="15" thickBot="1" x14ac:dyDescent="0.25">
      <c r="B1" s="18"/>
    </row>
    <row r="2" spans="2:16" x14ac:dyDescent="0.2">
      <c r="B2" s="20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2"/>
    </row>
    <row r="3" spans="2:16" x14ac:dyDescent="0.2"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5"/>
    </row>
    <row r="4" spans="2:16" x14ac:dyDescent="0.2">
      <c r="B4" s="2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5"/>
    </row>
    <row r="5" spans="2:16" x14ac:dyDescent="0.2">
      <c r="B5" s="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5"/>
    </row>
    <row r="6" spans="2:16" x14ac:dyDescent="0.2">
      <c r="B6" s="23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5"/>
    </row>
    <row r="7" spans="2:16" x14ac:dyDescent="0.2">
      <c r="B7" s="2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5"/>
    </row>
    <row r="8" spans="2:16" x14ac:dyDescent="0.2">
      <c r="B8" s="23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5"/>
    </row>
    <row r="9" spans="2:16" x14ac:dyDescent="0.2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5"/>
    </row>
    <row r="10" spans="2:16" x14ac:dyDescent="0.2">
      <c r="B10" s="23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5"/>
    </row>
    <row r="11" spans="2:16" x14ac:dyDescent="0.2">
      <c r="B11" s="23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5"/>
    </row>
    <row r="12" spans="2:16" x14ac:dyDescent="0.2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5"/>
    </row>
    <row r="13" spans="2:16" x14ac:dyDescent="0.2">
      <c r="B13" s="23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5"/>
    </row>
    <row r="14" spans="2:16" x14ac:dyDescent="0.2">
      <c r="B14" s="23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5"/>
    </row>
    <row r="15" spans="2:16" x14ac:dyDescent="0.2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5"/>
    </row>
    <row r="16" spans="2:16" ht="15" x14ac:dyDescent="0.2">
      <c r="B16" s="26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5"/>
    </row>
    <row r="17" spans="2:16" ht="35.25" x14ac:dyDescent="0.2">
      <c r="B17" s="27"/>
      <c r="C17" s="200" t="s">
        <v>325</v>
      </c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5"/>
    </row>
    <row r="18" spans="2:16" x14ac:dyDescent="0.2">
      <c r="B18" s="28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5"/>
    </row>
    <row r="19" spans="2:16" ht="35.25" x14ac:dyDescent="0.2">
      <c r="B19" s="27"/>
      <c r="C19" s="201" t="s">
        <v>354</v>
      </c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5"/>
    </row>
    <row r="20" spans="2:16" x14ac:dyDescent="0.2">
      <c r="B20" s="29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5"/>
    </row>
    <row r="21" spans="2:16" x14ac:dyDescent="0.2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5"/>
    </row>
    <row r="22" spans="2:16" x14ac:dyDescent="0.2">
      <c r="B22" s="23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5"/>
    </row>
    <row r="23" spans="2:16" x14ac:dyDescent="0.2">
      <c r="B23" s="23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5"/>
    </row>
    <row r="24" spans="2:16" x14ac:dyDescent="0.2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5"/>
    </row>
    <row r="25" spans="2:16" x14ac:dyDescent="0.2">
      <c r="B25" s="23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5"/>
    </row>
    <row r="26" spans="2:16" x14ac:dyDescent="0.2">
      <c r="B26" s="23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5"/>
    </row>
    <row r="27" spans="2:16" x14ac:dyDescent="0.2">
      <c r="B27" s="23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5"/>
    </row>
    <row r="28" spans="2:16" x14ac:dyDescent="0.2">
      <c r="B28" s="23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5"/>
    </row>
    <row r="29" spans="2:16" x14ac:dyDescent="0.2">
      <c r="B29" s="23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5"/>
    </row>
    <row r="30" spans="2:16" x14ac:dyDescent="0.2">
      <c r="B30" s="23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5"/>
    </row>
    <row r="31" spans="2:16" x14ac:dyDescent="0.2">
      <c r="B31" s="23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5"/>
    </row>
    <row r="32" spans="2:16" x14ac:dyDescent="0.2">
      <c r="B32" s="23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5"/>
    </row>
    <row r="33" spans="2:16" ht="23.25" x14ac:dyDescent="0.2">
      <c r="B33" s="27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30"/>
      <c r="O33" s="292" t="s">
        <v>457</v>
      </c>
      <c r="P33" s="25"/>
    </row>
    <row r="34" spans="2:16" ht="9" customHeight="1" thickBot="1" x14ac:dyDescent="0.25">
      <c r="B34" s="31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3"/>
      <c r="O34" s="32"/>
      <c r="P34" s="34"/>
    </row>
    <row r="35" spans="2:16" ht="16.5" customHeight="1" x14ac:dyDescent="0.2"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30"/>
      <c r="O35" s="24"/>
      <c r="P35" s="24"/>
    </row>
    <row r="36" spans="2:16" ht="15" thickBot="1" x14ac:dyDescent="0.25"/>
    <row r="37" spans="2:16" x14ac:dyDescent="0.2">
      <c r="B37" s="101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3"/>
    </row>
    <row r="38" spans="2:16" ht="15.75" x14ac:dyDescent="0.2">
      <c r="B38" s="104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6"/>
      <c r="P38" s="107"/>
    </row>
    <row r="39" spans="2:16" ht="18" x14ac:dyDescent="0.2">
      <c r="B39" s="104"/>
      <c r="C39" s="105"/>
      <c r="D39" s="105"/>
      <c r="E39" s="105"/>
      <c r="F39" s="203" t="s">
        <v>355</v>
      </c>
      <c r="G39" s="203"/>
      <c r="H39" s="203"/>
      <c r="I39" s="203"/>
      <c r="J39" s="203"/>
      <c r="K39" s="203"/>
      <c r="L39" s="203"/>
      <c r="M39" s="105"/>
      <c r="N39" s="105"/>
      <c r="O39" s="105"/>
      <c r="P39" s="108"/>
    </row>
    <row r="40" spans="2:16" ht="18" x14ac:dyDescent="0.2">
      <c r="B40" s="104"/>
      <c r="C40" s="105"/>
      <c r="D40" s="105"/>
      <c r="E40" s="105"/>
      <c r="F40" s="203" t="s">
        <v>356</v>
      </c>
      <c r="G40" s="203"/>
      <c r="H40" s="203"/>
      <c r="I40" s="203"/>
      <c r="J40" s="203"/>
      <c r="K40" s="203"/>
      <c r="L40" s="203"/>
      <c r="M40" s="109"/>
      <c r="N40" s="105"/>
      <c r="O40" s="105"/>
      <c r="P40" s="108"/>
    </row>
    <row r="41" spans="2:16" ht="18" x14ac:dyDescent="0.2">
      <c r="B41" s="104"/>
      <c r="C41" s="105"/>
      <c r="D41" s="105"/>
      <c r="E41" s="105"/>
      <c r="F41" s="251" t="s">
        <v>0</v>
      </c>
      <c r="G41" s="251"/>
      <c r="H41" s="251"/>
      <c r="I41" s="251"/>
      <c r="J41" s="251"/>
      <c r="K41" s="251"/>
      <c r="L41" s="251"/>
      <c r="M41" s="109"/>
      <c r="N41" s="105"/>
      <c r="O41" s="105"/>
      <c r="P41" s="108"/>
    </row>
    <row r="42" spans="2:16" ht="18" x14ac:dyDescent="0.2">
      <c r="B42" s="104"/>
      <c r="C42" s="110"/>
      <c r="D42" s="105"/>
      <c r="E42" s="105"/>
      <c r="F42" s="251"/>
      <c r="G42" s="251"/>
      <c r="H42" s="251"/>
      <c r="I42" s="251"/>
      <c r="J42" s="251"/>
      <c r="K42" s="251"/>
      <c r="L42" s="251"/>
      <c r="M42" s="105"/>
      <c r="N42" s="105"/>
      <c r="O42" s="105"/>
      <c r="P42" s="108"/>
    </row>
    <row r="43" spans="2:16" ht="18.75" customHeight="1" x14ac:dyDescent="0.2">
      <c r="B43" s="104"/>
      <c r="C43" s="37" t="s">
        <v>109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108"/>
    </row>
    <row r="44" spans="2:16" ht="18.75" customHeight="1" x14ac:dyDescent="0.2">
      <c r="B44" s="104"/>
      <c r="C44" s="36" t="s">
        <v>2</v>
      </c>
      <c r="D44" s="24"/>
      <c r="E44" s="226" t="s">
        <v>196</v>
      </c>
      <c r="F44" s="228"/>
      <c r="G44" s="39"/>
      <c r="H44" s="24"/>
      <c r="I44" s="40"/>
      <c r="J44" s="24"/>
      <c r="K44" s="235"/>
      <c r="L44" s="235"/>
      <c r="M44" s="24"/>
      <c r="N44" s="24"/>
      <c r="O44" s="24"/>
      <c r="P44" s="108"/>
    </row>
    <row r="45" spans="2:16" ht="18.75" customHeight="1" x14ac:dyDescent="0.2">
      <c r="B45" s="104"/>
      <c r="C45" s="36" t="s">
        <v>264</v>
      </c>
      <c r="D45" s="24"/>
      <c r="E45" s="41" t="str">
        <f>IF($E$44="","",VLOOKUP($E$44,Base!$A$3:$BS$40,2,FALSE))</f>
        <v>UNIVERSIDAD MEXIQUENSE DEL BICENTENARIO</v>
      </c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108"/>
    </row>
    <row r="46" spans="2:16" ht="18.75" customHeight="1" x14ac:dyDescent="0.2">
      <c r="B46" s="104"/>
      <c r="C46" s="36" t="s">
        <v>110</v>
      </c>
      <c r="D46" s="24"/>
      <c r="E46" s="41" t="str">
        <f>IF($E$44="","",VLOOKUP($E$44,Base!$A$3:$BS$40,3,FALSE))</f>
        <v>CARR. MEXICO TOLUCA</v>
      </c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108"/>
    </row>
    <row r="47" spans="2:16" ht="18.75" customHeight="1" x14ac:dyDescent="0.2">
      <c r="B47" s="104"/>
      <c r="C47" s="36" t="s">
        <v>111</v>
      </c>
      <c r="D47" s="24"/>
      <c r="E47" s="41" t="str">
        <f>IF($E$44="","",VLOOKUP($E$44,Base!$A$3:$BS$40,4,FALSE))</f>
        <v>KM 43.5</v>
      </c>
      <c r="F47" s="43"/>
      <c r="G47" s="43"/>
      <c r="H47" s="43"/>
      <c r="I47" s="236" t="s">
        <v>112</v>
      </c>
      <c r="J47" s="236"/>
      <c r="K47" s="41" t="str">
        <f>IF($E$44="","",VLOOKUP($E$44,Base!$A$3:$BS$40,5,FALSE))</f>
        <v xml:space="preserve"> </v>
      </c>
      <c r="L47" s="43"/>
      <c r="M47" s="43"/>
      <c r="N47" s="43"/>
      <c r="O47" s="43"/>
      <c r="P47" s="108"/>
    </row>
    <row r="48" spans="2:16" ht="18.75" customHeight="1" x14ac:dyDescent="0.2">
      <c r="B48" s="104"/>
      <c r="C48" s="36" t="s">
        <v>113</v>
      </c>
      <c r="D48" s="24"/>
      <c r="E48" s="41" t="str">
        <f>IF($E$44="","",VLOOKUP($E$44,Base!$A$3:$BS$40,6,FALSE))</f>
        <v>NINGUNO</v>
      </c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108"/>
    </row>
    <row r="49" spans="2:16" ht="18.75" customHeight="1" x14ac:dyDescent="0.2">
      <c r="B49" s="104"/>
      <c r="C49" s="36" t="s">
        <v>114</v>
      </c>
      <c r="D49" s="24"/>
      <c r="E49" s="41" t="str">
        <f>IF($E$44="","",VLOOKUP($E$44,Base!$A$3:$BS$40,7,FALSE))</f>
        <v>JUAN DE DIOS PEZA</v>
      </c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108"/>
    </row>
    <row r="50" spans="2:16" ht="18.75" customHeight="1" x14ac:dyDescent="0.2">
      <c r="B50" s="104"/>
      <c r="C50" s="45" t="s">
        <v>326</v>
      </c>
      <c r="D50" s="24"/>
      <c r="E50" s="46" t="str">
        <f>IF($E$44="","",VLOOKUP($E$44,Base!$A$3:$BS$40,8,FALSE))</f>
        <v xml:space="preserve"> </v>
      </c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108"/>
    </row>
    <row r="51" spans="2:16" ht="6" customHeight="1" x14ac:dyDescent="0.2">
      <c r="B51" s="104"/>
      <c r="C51" s="47"/>
      <c r="D51" s="24"/>
      <c r="E51" s="48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108"/>
    </row>
    <row r="52" spans="2:16" x14ac:dyDescent="0.2">
      <c r="B52" s="104"/>
      <c r="C52" s="36" t="s">
        <v>115</v>
      </c>
      <c r="D52" s="24"/>
      <c r="E52" s="49" t="str">
        <f>IF($E$44="","",VLOOKUP($E$44,Base!$A$3:$BS$40,9,FALSE))</f>
        <v>BARRIO</v>
      </c>
      <c r="F52" s="44"/>
      <c r="G52" s="44"/>
      <c r="H52" s="44"/>
      <c r="I52" s="44"/>
      <c r="J52" s="44"/>
      <c r="K52" s="42"/>
      <c r="L52" s="42"/>
      <c r="M52" s="36" t="s">
        <v>3</v>
      </c>
      <c r="N52" s="38">
        <f>IF($E$44="","",VLOOKUP($E$44,Base!$A$3:$BS$40,10,FALSE))</f>
        <v>52740</v>
      </c>
      <c r="O52" s="50"/>
      <c r="P52" s="108"/>
    </row>
    <row r="53" spans="2:16" ht="18.75" customHeight="1" x14ac:dyDescent="0.2">
      <c r="B53" s="104"/>
      <c r="C53" s="36" t="s">
        <v>327</v>
      </c>
      <c r="D53" s="24"/>
      <c r="E53" s="41" t="str">
        <f>IF($E$44="","",VLOOKUP($E$44,Base!$A$3:$BS$40,11,FALSE))</f>
        <v xml:space="preserve">SAN MIGUEL </v>
      </c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108"/>
    </row>
    <row r="54" spans="2:16" ht="18.75" customHeight="1" x14ac:dyDescent="0.2">
      <c r="B54" s="104"/>
      <c r="C54" s="36" t="s">
        <v>328</v>
      </c>
      <c r="D54" s="24"/>
      <c r="E54" s="41" t="str">
        <f>IF($E$44="","",VLOOKUP($E$44,Base!$A$3:$BS$40,12,FALSE))</f>
        <v>OCOYOACAC</v>
      </c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108"/>
    </row>
    <row r="55" spans="2:16" ht="18.75" customHeight="1" x14ac:dyDescent="0.2">
      <c r="B55" s="104"/>
      <c r="C55" s="36" t="s">
        <v>329</v>
      </c>
      <c r="D55" s="24"/>
      <c r="E55" s="41" t="str">
        <f>IF($E$44="","",VLOOKUP($E$44,Base!$A$3:$BS$40,13,FALSE))</f>
        <v>MÉXICO</v>
      </c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108"/>
    </row>
    <row r="56" spans="2:16" ht="18.75" customHeight="1" x14ac:dyDescent="0.2">
      <c r="B56" s="104"/>
      <c r="C56" s="36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108"/>
    </row>
    <row r="57" spans="2:16" ht="18.75" customHeight="1" x14ac:dyDescent="0.2">
      <c r="B57" s="104"/>
      <c r="C57" s="36" t="s">
        <v>4</v>
      </c>
      <c r="D57" s="38">
        <f>IF($E$44="","",VLOOKUP($E$44,Base!$A$3:$BS$40,14,FALSE))</f>
        <v>7282847310</v>
      </c>
      <c r="E57" s="50"/>
      <c r="F57" s="36" t="s">
        <v>5</v>
      </c>
      <c r="G57" s="36"/>
      <c r="H57" s="38">
        <f>IF($E$44="","",VLOOKUP($E$44,Base!$A$3:$BS$40,15,FALSE))</f>
        <v>162</v>
      </c>
      <c r="I57" s="50"/>
      <c r="J57" s="52" t="s">
        <v>6</v>
      </c>
      <c r="K57" s="38">
        <f>IF($E$44="","",VLOOKUP($E$44,Base!$A$3:$BS$40,16,FALSE))</f>
        <v>7282847310</v>
      </c>
      <c r="L57" s="50"/>
      <c r="M57" s="36" t="s">
        <v>5</v>
      </c>
      <c r="N57" s="53">
        <f>IF($E$44="","",VLOOKUP($E$44,Base!$A$3:$BS$40,17,FALSE))</f>
        <v>122</v>
      </c>
      <c r="O57" s="24"/>
      <c r="P57" s="108"/>
    </row>
    <row r="58" spans="2:16" ht="18.75" customHeight="1" x14ac:dyDescent="0.2">
      <c r="B58" s="104"/>
      <c r="C58" s="36" t="s">
        <v>330</v>
      </c>
      <c r="D58" s="24"/>
      <c r="E58" s="41" t="str">
        <f>IF($E$44="","",VLOOKUP($E$44,Base!$A$3:$BS$40,18,FALSE))</f>
        <v>SECRETARIA DE EDUCACIÓN</v>
      </c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108"/>
    </row>
    <row r="59" spans="2:16" ht="18.75" customHeight="1" x14ac:dyDescent="0.2">
      <c r="B59" s="104"/>
      <c r="C59" s="36" t="s">
        <v>259</v>
      </c>
      <c r="D59" s="42"/>
      <c r="E59" s="42"/>
      <c r="F59" s="41" t="str">
        <f>IF($E$44="","",VLOOKUP($E$44,Base!$A$3:$BS$40,19,FALSE))</f>
        <v>EDUCACIÓN SUPERIOR</v>
      </c>
      <c r="G59" s="42"/>
      <c r="H59" s="42"/>
      <c r="I59" s="42"/>
      <c r="J59" s="24" t="s">
        <v>260</v>
      </c>
      <c r="L59" s="41" t="str">
        <f>IF($E$44="","",VLOOKUP($E$44,Base!$A$3:$BS$40,20,FALSE))</f>
        <v>ORGANISMO DESCENTRALIZADO</v>
      </c>
      <c r="M59" s="42"/>
      <c r="N59" s="42"/>
      <c r="O59" s="42"/>
      <c r="P59" s="108"/>
    </row>
    <row r="60" spans="2:16" ht="18.75" customHeight="1" x14ac:dyDescent="0.2">
      <c r="B60" s="104"/>
      <c r="C60" s="36" t="s">
        <v>261</v>
      </c>
      <c r="D60" s="24"/>
      <c r="E60" s="24"/>
      <c r="F60" s="51"/>
      <c r="G60" s="41" t="str">
        <f>IF($E$44="","",VLOOKUP($E$44,Base!$A$3:$BS$40,21,FALSE))</f>
        <v>MTRO. URIEL GALICIA HERNÁNDEZ</v>
      </c>
      <c r="H60" s="51"/>
      <c r="I60" s="51"/>
      <c r="J60" s="42"/>
      <c r="K60" s="51"/>
      <c r="L60" s="51"/>
      <c r="M60" s="51"/>
      <c r="N60" s="51"/>
      <c r="O60" s="51"/>
      <c r="P60" s="108"/>
    </row>
    <row r="61" spans="2:16" ht="18.75" customHeight="1" x14ac:dyDescent="0.2">
      <c r="B61" s="104"/>
      <c r="C61" s="36" t="s">
        <v>262</v>
      </c>
      <c r="D61" s="42"/>
      <c r="E61" s="41" t="str">
        <f>IF($E$44="","",VLOOKUP($E$44,Base!$A$3:$BS$40,22,FALSE))</f>
        <v>www.umb.mx</v>
      </c>
      <c r="F61" s="42"/>
      <c r="G61" s="42"/>
      <c r="H61" s="42"/>
      <c r="I61" s="36" t="s">
        <v>263</v>
      </c>
      <c r="J61" s="24"/>
      <c r="K61" s="24"/>
      <c r="L61" s="51"/>
      <c r="M61" s="41" t="str">
        <f>IF($E$44="","",VLOOKUP($E$44,Base!$A$3:$BS$40,23,FALSE))</f>
        <v>asesor.planeacion@umb.mx</v>
      </c>
      <c r="N61" s="51"/>
      <c r="O61" s="51"/>
      <c r="P61" s="108"/>
    </row>
    <row r="62" spans="2:16" ht="18.75" customHeight="1" x14ac:dyDescent="0.2">
      <c r="B62" s="104"/>
      <c r="C62" s="36"/>
      <c r="D62" s="24"/>
      <c r="E62" s="24"/>
      <c r="F62" s="24"/>
      <c r="G62" s="24"/>
      <c r="H62" s="24"/>
      <c r="I62" s="36"/>
      <c r="J62" s="24"/>
      <c r="K62" s="24"/>
      <c r="L62" s="24"/>
      <c r="M62" s="24"/>
      <c r="N62" s="24"/>
      <c r="O62" s="24"/>
      <c r="P62" s="108"/>
    </row>
    <row r="63" spans="2:16" ht="15" thickBot="1" x14ac:dyDescent="0.25">
      <c r="B63" s="104"/>
      <c r="C63" s="36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108"/>
    </row>
    <row r="64" spans="2:16" ht="33.75" customHeight="1" x14ac:dyDescent="0.2">
      <c r="B64" s="104"/>
      <c r="C64" s="237" t="s">
        <v>331</v>
      </c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9"/>
      <c r="P64" s="108"/>
    </row>
    <row r="65" spans="2:16" ht="29.25" customHeight="1" x14ac:dyDescent="0.2">
      <c r="B65" s="104"/>
      <c r="C65" s="219" t="s">
        <v>116</v>
      </c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1"/>
      <c r="P65" s="108"/>
    </row>
    <row r="66" spans="2:16" ht="15" thickBot="1" x14ac:dyDescent="0.25">
      <c r="B66" s="104"/>
      <c r="C66" s="54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6"/>
      <c r="P66" s="108"/>
    </row>
    <row r="67" spans="2:16" ht="15" thickBot="1" x14ac:dyDescent="0.25">
      <c r="B67" s="145"/>
      <c r="C67" s="146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8"/>
    </row>
    <row r="69" spans="2:16" ht="15" thickBot="1" x14ac:dyDescent="0.25"/>
    <row r="70" spans="2:16" ht="10.5" customHeight="1" x14ac:dyDescent="0.2">
      <c r="B70" s="112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5"/>
      <c r="P70" s="119"/>
    </row>
    <row r="71" spans="2:16" ht="28.5" customHeight="1" x14ac:dyDescent="0.2">
      <c r="B71" s="113"/>
      <c r="C71" s="81" t="s">
        <v>456</v>
      </c>
      <c r="D71" s="81"/>
      <c r="E71" s="81"/>
      <c r="F71" s="81"/>
      <c r="G71" s="81"/>
      <c r="H71" s="81"/>
      <c r="I71" s="24"/>
      <c r="J71" s="24"/>
      <c r="K71" s="81" t="s">
        <v>357</v>
      </c>
      <c r="L71" s="81"/>
      <c r="M71" s="81"/>
      <c r="N71" s="81"/>
      <c r="O71" s="111" t="s">
        <v>358</v>
      </c>
      <c r="P71" s="120"/>
    </row>
    <row r="72" spans="2:16" ht="11.25" customHeight="1" x14ac:dyDescent="0.2">
      <c r="B72" s="113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7"/>
      <c r="P72" s="118"/>
    </row>
    <row r="73" spans="2:16" ht="15.75" x14ac:dyDescent="0.2">
      <c r="B73" s="151"/>
      <c r="C73" s="240" t="s">
        <v>7</v>
      </c>
      <c r="D73" s="240"/>
      <c r="E73" s="240"/>
      <c r="F73" s="240"/>
      <c r="G73" s="240"/>
      <c r="H73" s="240"/>
      <c r="I73" s="24"/>
      <c r="J73" s="24"/>
      <c r="K73" s="24"/>
      <c r="L73" s="24"/>
      <c r="M73" s="24"/>
      <c r="N73" s="24"/>
      <c r="O73" s="24"/>
      <c r="P73" s="108"/>
    </row>
    <row r="74" spans="2:16" x14ac:dyDescent="0.2">
      <c r="B74" s="104"/>
      <c r="C74" s="240"/>
      <c r="D74" s="240"/>
      <c r="E74" s="240"/>
      <c r="F74" s="240"/>
      <c r="G74" s="240"/>
      <c r="H74" s="240"/>
      <c r="I74" s="24"/>
      <c r="J74" s="24"/>
      <c r="K74" s="24"/>
      <c r="L74" s="24"/>
      <c r="M74" s="24"/>
      <c r="N74" s="24"/>
      <c r="O74" s="24"/>
      <c r="P74" s="108"/>
    </row>
    <row r="75" spans="2:16" ht="15.75" x14ac:dyDescent="0.2">
      <c r="B75" s="104"/>
      <c r="C75" s="57"/>
      <c r="D75" s="57"/>
      <c r="E75" s="57"/>
      <c r="F75" s="57"/>
      <c r="G75" s="57"/>
      <c r="H75" s="57"/>
      <c r="I75" s="24"/>
      <c r="J75" s="24"/>
      <c r="K75" s="24"/>
      <c r="L75" s="37" t="s">
        <v>10</v>
      </c>
      <c r="M75" s="24"/>
      <c r="N75" s="24"/>
      <c r="O75" s="24"/>
      <c r="P75" s="108"/>
    </row>
    <row r="76" spans="2:16" ht="15" customHeight="1" x14ac:dyDescent="0.2">
      <c r="B76" s="104"/>
      <c r="C76" s="199" t="s">
        <v>332</v>
      </c>
      <c r="D76" s="199"/>
      <c r="E76" s="199"/>
      <c r="F76" s="199"/>
      <c r="G76" s="58"/>
      <c r="H76" s="59"/>
      <c r="I76" s="24"/>
      <c r="J76" s="24"/>
      <c r="K76" s="24"/>
      <c r="L76" s="24"/>
      <c r="M76" s="24"/>
      <c r="N76" s="24"/>
      <c r="O76" s="24"/>
      <c r="P76" s="108"/>
    </row>
    <row r="77" spans="2:16" ht="15" customHeight="1" x14ac:dyDescent="0.2">
      <c r="B77" s="152"/>
      <c r="C77" s="199"/>
      <c r="D77" s="199"/>
      <c r="E77" s="199"/>
      <c r="F77" s="199"/>
      <c r="G77" s="58"/>
      <c r="H77" s="60" t="s">
        <v>8</v>
      </c>
      <c r="I77" s="24"/>
      <c r="J77" s="210" t="s">
        <v>11</v>
      </c>
      <c r="K77" s="210"/>
      <c r="L77" s="210"/>
      <c r="M77" s="24"/>
      <c r="N77" s="24"/>
      <c r="O77" s="24"/>
      <c r="P77" s="108"/>
    </row>
    <row r="78" spans="2:16" x14ac:dyDescent="0.2">
      <c r="B78" s="153"/>
      <c r="C78" s="199"/>
      <c r="D78" s="199"/>
      <c r="E78" s="199"/>
      <c r="F78" s="199"/>
      <c r="G78" s="58"/>
      <c r="H78" s="59"/>
      <c r="I78" s="24"/>
      <c r="J78" s="210"/>
      <c r="K78" s="210"/>
      <c r="L78" s="210"/>
      <c r="M78" s="24"/>
      <c r="N78" s="52" t="s">
        <v>12</v>
      </c>
      <c r="O78" s="24"/>
      <c r="P78" s="108"/>
    </row>
    <row r="79" spans="2:16" x14ac:dyDescent="0.2">
      <c r="B79" s="104"/>
      <c r="C79" s="199"/>
      <c r="D79" s="199"/>
      <c r="E79" s="199"/>
      <c r="F79" s="199"/>
      <c r="G79" s="58"/>
      <c r="H79" s="36" t="s">
        <v>117</v>
      </c>
      <c r="I79" s="24"/>
      <c r="J79" s="24"/>
      <c r="K79" s="61"/>
      <c r="L79" s="24"/>
      <c r="M79" s="24"/>
      <c r="N79" s="61"/>
      <c r="O79" s="24"/>
      <c r="P79" s="108"/>
    </row>
    <row r="80" spans="2:16" x14ac:dyDescent="0.2">
      <c r="B80" s="104"/>
      <c r="C80" s="199"/>
      <c r="D80" s="199"/>
      <c r="E80" s="199"/>
      <c r="F80" s="199"/>
      <c r="G80" s="58"/>
      <c r="H80" s="36" t="s">
        <v>118</v>
      </c>
      <c r="I80" s="24"/>
      <c r="J80" s="24"/>
      <c r="K80" s="61"/>
      <c r="L80" s="24"/>
      <c r="M80" s="24"/>
      <c r="N80" s="61"/>
      <c r="O80" s="24"/>
      <c r="P80" s="108"/>
    </row>
    <row r="81" spans="2:16" x14ac:dyDescent="0.2">
      <c r="B81" s="154"/>
      <c r="C81" s="199"/>
      <c r="D81" s="199"/>
      <c r="E81" s="199"/>
      <c r="F81" s="199"/>
      <c r="G81" s="24"/>
      <c r="H81" s="36" t="s">
        <v>119</v>
      </c>
      <c r="I81" s="24"/>
      <c r="J81" s="24"/>
      <c r="K81" s="53">
        <f>IF($E$44="","",VLOOKUP($E$44,Base!$A$3:$BS$40,24,FALSE))</f>
        <v>28</v>
      </c>
      <c r="L81" s="24"/>
      <c r="M81" s="24"/>
      <c r="N81" s="62">
        <f>IF($E$44="","",VLOOKUP($E$44,Base!$A$3:$BS$40,25,FALSE))</f>
        <v>10427</v>
      </c>
      <c r="O81" s="24"/>
      <c r="P81" s="108"/>
    </row>
    <row r="82" spans="2:16" x14ac:dyDescent="0.2">
      <c r="B82" s="153"/>
      <c r="C82" s="24"/>
      <c r="D82" s="24"/>
      <c r="E82" s="24"/>
      <c r="F82" s="24"/>
      <c r="G82" s="24"/>
      <c r="H82" s="36" t="s">
        <v>13</v>
      </c>
      <c r="I82" s="24"/>
      <c r="J82" s="24"/>
      <c r="K82" s="61"/>
      <c r="L82" s="24"/>
      <c r="M82" s="24"/>
      <c r="N82" s="63"/>
      <c r="O82" s="24"/>
      <c r="P82" s="108"/>
    </row>
    <row r="83" spans="2:16" ht="7.5" customHeight="1" x14ac:dyDescent="0.2">
      <c r="B83" s="104"/>
      <c r="C83" s="24"/>
      <c r="D83" s="24"/>
      <c r="E83" s="24"/>
      <c r="F83" s="24"/>
      <c r="G83" s="24"/>
      <c r="H83" s="64"/>
      <c r="I83" s="24"/>
      <c r="J83" s="24"/>
      <c r="K83" s="24"/>
      <c r="L83" s="24"/>
      <c r="M83" s="24"/>
      <c r="N83" s="65"/>
      <c r="O83" s="24"/>
      <c r="P83" s="108"/>
    </row>
    <row r="84" spans="2:16" x14ac:dyDescent="0.2">
      <c r="B84" s="104"/>
      <c r="C84" s="24"/>
      <c r="D84" s="24"/>
      <c r="E84" s="24"/>
      <c r="F84" s="24"/>
      <c r="G84" s="24"/>
      <c r="H84" s="37" t="s">
        <v>9</v>
      </c>
      <c r="I84" s="24"/>
      <c r="J84" s="24"/>
      <c r="K84" s="24"/>
      <c r="L84" s="24"/>
      <c r="M84" s="24"/>
      <c r="N84" s="66">
        <f>SUM(N79:N82)</f>
        <v>10427</v>
      </c>
      <c r="O84" s="24"/>
      <c r="P84" s="108"/>
    </row>
    <row r="85" spans="2:16" ht="8.25" customHeight="1" x14ac:dyDescent="0.2">
      <c r="B85" s="153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108"/>
    </row>
    <row r="86" spans="2:16" x14ac:dyDescent="0.2">
      <c r="B86" s="153"/>
      <c r="C86" s="24"/>
      <c r="D86" s="24"/>
      <c r="E86" s="24"/>
      <c r="F86" s="24"/>
      <c r="G86" s="24"/>
      <c r="H86" s="24"/>
      <c r="I86" s="24"/>
      <c r="J86" s="24"/>
      <c r="K86" s="37" t="s">
        <v>359</v>
      </c>
      <c r="L86" s="24"/>
      <c r="M86" s="24"/>
      <c r="N86" s="24"/>
      <c r="O86" s="24"/>
      <c r="P86" s="108"/>
    </row>
    <row r="87" spans="2:16" x14ac:dyDescent="0.2">
      <c r="B87" s="153"/>
      <c r="C87" s="24"/>
      <c r="D87" s="24"/>
      <c r="E87" s="24"/>
      <c r="F87" s="24"/>
      <c r="G87" s="24"/>
      <c r="H87" s="60" t="s">
        <v>8</v>
      </c>
      <c r="I87" s="24"/>
      <c r="J87" s="210" t="s">
        <v>11</v>
      </c>
      <c r="K87" s="210"/>
      <c r="L87" s="210"/>
      <c r="M87" s="24"/>
      <c r="N87" s="24"/>
      <c r="O87" s="24"/>
      <c r="P87" s="108"/>
    </row>
    <row r="88" spans="2:16" x14ac:dyDescent="0.2">
      <c r="B88" s="153"/>
      <c r="C88" s="24"/>
      <c r="D88" s="24"/>
      <c r="E88" s="24"/>
      <c r="F88" s="24"/>
      <c r="G88" s="24"/>
      <c r="H88" s="59"/>
      <c r="I88" s="24"/>
      <c r="J88" s="210"/>
      <c r="K88" s="210"/>
      <c r="L88" s="210"/>
      <c r="M88" s="24"/>
      <c r="N88" s="52" t="s">
        <v>12</v>
      </c>
      <c r="O88" s="24"/>
      <c r="P88" s="108"/>
    </row>
    <row r="89" spans="2:16" x14ac:dyDescent="0.2">
      <c r="B89" s="104"/>
      <c r="C89" s="24"/>
      <c r="D89" s="24"/>
      <c r="E89" s="24"/>
      <c r="F89" s="24"/>
      <c r="G89" s="24"/>
      <c r="H89" s="36" t="s">
        <v>117</v>
      </c>
      <c r="I89" s="24"/>
      <c r="J89" s="24"/>
      <c r="K89" s="61"/>
      <c r="L89" s="24"/>
      <c r="M89" s="24"/>
      <c r="N89" s="61"/>
      <c r="O89" s="24"/>
      <c r="P89" s="108"/>
    </row>
    <row r="90" spans="2:16" x14ac:dyDescent="0.2">
      <c r="B90" s="104"/>
      <c r="C90" s="24"/>
      <c r="D90" s="24"/>
      <c r="E90" s="24"/>
      <c r="F90" s="24"/>
      <c r="G90" s="24"/>
      <c r="H90" s="36" t="s">
        <v>118</v>
      </c>
      <c r="I90" s="24"/>
      <c r="J90" s="24"/>
      <c r="K90" s="61"/>
      <c r="L90" s="24"/>
      <c r="M90" s="24"/>
      <c r="N90" s="61"/>
      <c r="O90" s="24"/>
      <c r="P90" s="108"/>
    </row>
    <row r="91" spans="2:16" x14ac:dyDescent="0.2">
      <c r="B91" s="104"/>
      <c r="C91" s="24"/>
      <c r="D91" s="24"/>
      <c r="E91" s="24"/>
      <c r="F91" s="24"/>
      <c r="G91" s="24"/>
      <c r="H91" s="36" t="s">
        <v>119</v>
      </c>
      <c r="I91" s="24"/>
      <c r="J91" s="24"/>
      <c r="K91" s="61"/>
      <c r="L91" s="24"/>
      <c r="M91" s="24"/>
      <c r="N91" s="61"/>
      <c r="O91" s="24"/>
      <c r="P91" s="108"/>
    </row>
    <row r="92" spans="2:16" x14ac:dyDescent="0.2">
      <c r="B92" s="104"/>
      <c r="C92" s="24"/>
      <c r="D92" s="24"/>
      <c r="E92" s="24"/>
      <c r="F92" s="24"/>
      <c r="G92" s="24"/>
      <c r="H92" s="36" t="s">
        <v>13</v>
      </c>
      <c r="I92" s="24"/>
      <c r="J92" s="24"/>
      <c r="K92" s="61"/>
      <c r="L92" s="24"/>
      <c r="M92" s="24"/>
      <c r="N92" s="61"/>
      <c r="O92" s="24"/>
      <c r="P92" s="108"/>
    </row>
    <row r="93" spans="2:16" ht="7.5" customHeight="1" x14ac:dyDescent="0.2">
      <c r="B93" s="104"/>
      <c r="C93" s="24"/>
      <c r="D93" s="24"/>
      <c r="E93" s="24"/>
      <c r="F93" s="24"/>
      <c r="G93" s="24"/>
      <c r="H93" s="64"/>
      <c r="I93" s="24"/>
      <c r="J93" s="24"/>
      <c r="K93" s="24"/>
      <c r="L93" s="24"/>
      <c r="M93" s="24"/>
      <c r="N93" s="24"/>
      <c r="O93" s="24"/>
      <c r="P93" s="108"/>
    </row>
    <row r="94" spans="2:16" x14ac:dyDescent="0.2">
      <c r="B94" s="104"/>
      <c r="C94" s="24"/>
      <c r="D94" s="24"/>
      <c r="E94" s="24"/>
      <c r="F94" s="24"/>
      <c r="G94" s="24"/>
      <c r="H94" s="37" t="s">
        <v>9</v>
      </c>
      <c r="I94" s="24"/>
      <c r="J94" s="24"/>
      <c r="K94" s="24"/>
      <c r="L94" s="24"/>
      <c r="M94" s="24"/>
      <c r="N94" s="61"/>
      <c r="O94" s="24"/>
      <c r="P94" s="108"/>
    </row>
    <row r="95" spans="2:16" ht="15.75" x14ac:dyDescent="0.2">
      <c r="B95" s="104"/>
      <c r="C95" s="67" t="s">
        <v>14</v>
      </c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108"/>
    </row>
    <row r="96" spans="2:16" ht="18" customHeight="1" x14ac:dyDescent="0.2">
      <c r="B96" s="155"/>
      <c r="C96" s="199" t="s">
        <v>333</v>
      </c>
      <c r="D96" s="199"/>
      <c r="E96" s="199"/>
      <c r="F96" s="199"/>
      <c r="G96" s="58"/>
      <c r="H96" s="24"/>
      <c r="I96" s="24"/>
      <c r="J96" s="24"/>
      <c r="K96" s="87"/>
      <c r="L96" s="87"/>
      <c r="M96" s="87"/>
      <c r="N96" s="241" t="s">
        <v>120</v>
      </c>
      <c r="O96" s="24"/>
      <c r="P96" s="108"/>
    </row>
    <row r="97" spans="2:16" ht="18" customHeight="1" x14ac:dyDescent="0.2">
      <c r="B97" s="104"/>
      <c r="C97" s="199"/>
      <c r="D97" s="199"/>
      <c r="E97" s="199"/>
      <c r="F97" s="199"/>
      <c r="G97" s="58"/>
      <c r="H97" s="24"/>
      <c r="I97" s="24"/>
      <c r="J97" s="24"/>
      <c r="K97" s="121" t="s">
        <v>18</v>
      </c>
      <c r="L97" s="121" t="s">
        <v>19</v>
      </c>
      <c r="M97" s="121" t="s">
        <v>9</v>
      </c>
      <c r="N97" s="242"/>
      <c r="O97" s="24"/>
      <c r="P97" s="108"/>
    </row>
    <row r="98" spans="2:16" ht="18" customHeight="1" x14ac:dyDescent="0.2">
      <c r="B98" s="156"/>
      <c r="C98" s="199"/>
      <c r="D98" s="199"/>
      <c r="E98" s="199"/>
      <c r="F98" s="199"/>
      <c r="G98" s="58"/>
      <c r="H98" s="24"/>
      <c r="I98" s="36" t="s">
        <v>23</v>
      </c>
      <c r="J98" s="24"/>
      <c r="K98" s="53">
        <f>IF($E$44="","",VLOOKUP($E$44,Base!$A$3:$BS$40,26,FALSE))</f>
        <v>2</v>
      </c>
      <c r="L98" s="53">
        <f>IF($E$44="","",VLOOKUP($E$44,Base!$A$3:$BS$40,27,FALSE))</f>
        <v>2</v>
      </c>
      <c r="M98" s="53">
        <f>SUM(K98:L98)</f>
        <v>4</v>
      </c>
      <c r="N98" s="53" t="str">
        <f>IF($E$44="","",VLOOKUP($E$44,Base!$A$3:$BS$40,28,FALSE))</f>
        <v xml:space="preserve"> </v>
      </c>
      <c r="O98" s="24"/>
      <c r="P98" s="108"/>
    </row>
    <row r="99" spans="2:16" ht="18" customHeight="1" x14ac:dyDescent="0.2">
      <c r="B99" s="104"/>
      <c r="C99" s="199"/>
      <c r="D99" s="199"/>
      <c r="E99" s="199"/>
      <c r="F99" s="199"/>
      <c r="G99" s="58"/>
      <c r="H99" s="24"/>
      <c r="I99" s="36" t="s">
        <v>25</v>
      </c>
      <c r="J99" s="24"/>
      <c r="K99" s="53">
        <f>IF($E$44="","",VLOOKUP($E$44,Base!$A$3:$BS$40,29,FALSE))</f>
        <v>44</v>
      </c>
      <c r="L99" s="53">
        <f>IF($E$44="","",VLOOKUP($E$44,Base!$A$3:$BS$40,30,FALSE))</f>
        <v>40</v>
      </c>
      <c r="M99" s="53">
        <f>SUM(K99:L99)</f>
        <v>84</v>
      </c>
      <c r="N99" s="53">
        <f>IF($E$44="","",VLOOKUP($E$44,Base!$A$3:$BS$40,31,FALSE))</f>
        <v>1</v>
      </c>
      <c r="O99" s="24"/>
      <c r="P99" s="108"/>
    </row>
    <row r="100" spans="2:16" x14ac:dyDescent="0.2">
      <c r="B100" s="153"/>
      <c r="C100" s="69" t="s">
        <v>15</v>
      </c>
      <c r="D100" s="24"/>
      <c r="E100" s="24"/>
      <c r="F100" s="24"/>
      <c r="G100" s="24"/>
      <c r="H100" s="24"/>
      <c r="I100" s="36" t="s">
        <v>26</v>
      </c>
      <c r="J100" s="24"/>
      <c r="K100" s="53">
        <f>IF($E$44="","",VLOOKUP($E$44,Base!$A$3:$BS$40,32,FALSE))</f>
        <v>4</v>
      </c>
      <c r="L100" s="53">
        <f>IF($E$44="","",VLOOKUP($E$44,Base!$A$3:$BS$40,33,FALSE))</f>
        <v>3</v>
      </c>
      <c r="M100" s="53">
        <f>SUM(K100:L100)</f>
        <v>7</v>
      </c>
      <c r="N100" s="53">
        <f>IF($E$44="","",VLOOKUP($E$44,Base!$A$3:$BS$40,34,FALSE))</f>
        <v>0</v>
      </c>
      <c r="O100" s="24"/>
      <c r="P100" s="108"/>
    </row>
    <row r="101" spans="2:16" x14ac:dyDescent="0.2">
      <c r="B101" s="104"/>
      <c r="C101" s="206" t="s">
        <v>16</v>
      </c>
      <c r="D101" s="206"/>
      <c r="E101" s="206"/>
      <c r="F101" s="206"/>
      <c r="G101" s="70"/>
      <c r="H101" s="24"/>
      <c r="I101" s="24"/>
      <c r="J101" s="24"/>
      <c r="K101" s="24"/>
      <c r="L101" s="24"/>
      <c r="M101" s="24"/>
      <c r="N101" s="24"/>
      <c r="O101" s="24"/>
      <c r="P101" s="108"/>
    </row>
    <row r="102" spans="2:16" x14ac:dyDescent="0.2">
      <c r="B102" s="104"/>
      <c r="C102" s="206"/>
      <c r="D102" s="206"/>
      <c r="E102" s="206"/>
      <c r="F102" s="206"/>
      <c r="G102" s="70"/>
      <c r="H102" s="24"/>
      <c r="I102" s="71" t="s">
        <v>17</v>
      </c>
      <c r="J102" s="72"/>
      <c r="K102" s="73">
        <f>SUM(K98:K100)</f>
        <v>50</v>
      </c>
      <c r="L102" s="73">
        <f>SUM(L98:L100)</f>
        <v>45</v>
      </c>
      <c r="M102" s="73">
        <f>SUM(M98:M100)</f>
        <v>95</v>
      </c>
      <c r="N102" s="73">
        <f>SUM(N98:N100)</f>
        <v>1</v>
      </c>
      <c r="O102" s="24"/>
      <c r="P102" s="108"/>
    </row>
    <row r="103" spans="2:16" x14ac:dyDescent="0.2">
      <c r="B103" s="10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108"/>
    </row>
    <row r="104" spans="2:16" x14ac:dyDescent="0.2">
      <c r="B104" s="104"/>
      <c r="C104" s="74" t="s">
        <v>20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122" t="s">
        <v>360</v>
      </c>
      <c r="P104" s="108"/>
    </row>
    <row r="105" spans="2:16" ht="15" thickBot="1" x14ac:dyDescent="0.25">
      <c r="B105" s="145"/>
      <c r="C105" s="15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23" t="s">
        <v>361</v>
      </c>
      <c r="P105" s="148"/>
    </row>
    <row r="106" spans="2:16" x14ac:dyDescent="0.2">
      <c r="C106" s="75"/>
    </row>
    <row r="107" spans="2:16" ht="15" thickBot="1" x14ac:dyDescent="0.25"/>
    <row r="108" spans="2:16" ht="11.25" customHeight="1" x14ac:dyDescent="0.2">
      <c r="B108" s="112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5"/>
      <c r="P108" s="119"/>
    </row>
    <row r="109" spans="2:16" ht="28.5" x14ac:dyDescent="0.2">
      <c r="B109" s="113"/>
      <c r="C109" s="81" t="s">
        <v>456</v>
      </c>
      <c r="D109" s="81"/>
      <c r="E109" s="81"/>
      <c r="F109" s="81"/>
      <c r="G109" s="81"/>
      <c r="H109" s="81"/>
      <c r="I109" s="24"/>
      <c r="J109" s="24"/>
      <c r="K109" s="81" t="s">
        <v>357</v>
      </c>
      <c r="L109" s="81"/>
      <c r="M109" s="81"/>
      <c r="N109" s="81"/>
      <c r="O109" s="111" t="s">
        <v>358</v>
      </c>
      <c r="P109" s="120"/>
    </row>
    <row r="110" spans="2:16" ht="10.5" customHeight="1" x14ac:dyDescent="0.2">
      <c r="B110" s="113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7"/>
      <c r="P110" s="118"/>
    </row>
    <row r="111" spans="2:16" ht="15.75" customHeight="1" x14ac:dyDescent="0.2">
      <c r="B111" s="104"/>
      <c r="C111" s="243" t="s">
        <v>21</v>
      </c>
      <c r="D111" s="243"/>
      <c r="E111" s="243"/>
      <c r="F111" s="243"/>
      <c r="G111" s="57"/>
      <c r="H111" s="24"/>
      <c r="I111" s="24"/>
      <c r="J111" s="24"/>
      <c r="K111" s="24"/>
      <c r="L111" s="24"/>
      <c r="M111" s="24"/>
      <c r="N111" s="24"/>
      <c r="O111" s="60"/>
      <c r="P111" s="108"/>
    </row>
    <row r="112" spans="2:16" ht="15.75" x14ac:dyDescent="0.2">
      <c r="B112" s="153"/>
      <c r="C112" s="243"/>
      <c r="D112" s="243"/>
      <c r="E112" s="243"/>
      <c r="F112" s="243"/>
      <c r="G112" s="57"/>
      <c r="H112" s="24"/>
      <c r="I112" s="24"/>
      <c r="J112" s="24"/>
      <c r="K112" s="24"/>
      <c r="L112" s="24"/>
      <c r="M112" s="24"/>
      <c r="N112" s="24"/>
      <c r="O112" s="24"/>
      <c r="P112" s="108"/>
    </row>
    <row r="113" spans="2:16" ht="15.75" x14ac:dyDescent="0.2">
      <c r="B113" s="153"/>
      <c r="C113" s="243"/>
      <c r="D113" s="243"/>
      <c r="E113" s="243"/>
      <c r="F113" s="243"/>
      <c r="G113" s="57"/>
      <c r="H113" s="24"/>
      <c r="I113" s="24"/>
      <c r="J113" s="24"/>
      <c r="K113" s="24"/>
      <c r="L113" s="24"/>
      <c r="M113" s="24"/>
      <c r="N113" s="24"/>
      <c r="O113" s="244" t="s">
        <v>120</v>
      </c>
      <c r="P113" s="108"/>
    </row>
    <row r="114" spans="2:16" x14ac:dyDescent="0.2">
      <c r="B114" s="104"/>
      <c r="C114" s="24"/>
      <c r="D114" s="24"/>
      <c r="E114" s="24"/>
      <c r="F114" s="24"/>
      <c r="G114" s="24"/>
      <c r="H114" s="24"/>
      <c r="I114" s="24"/>
      <c r="J114" s="24"/>
      <c r="K114" s="24"/>
      <c r="L114" s="68" t="s">
        <v>18</v>
      </c>
      <c r="M114" s="68" t="s">
        <v>19</v>
      </c>
      <c r="N114" s="68" t="s">
        <v>9</v>
      </c>
      <c r="O114" s="244"/>
      <c r="P114" s="108"/>
    </row>
    <row r="115" spans="2:16" ht="17.25" customHeight="1" x14ac:dyDescent="0.2">
      <c r="B115" s="104"/>
      <c r="C115" s="199" t="s">
        <v>334</v>
      </c>
      <c r="D115" s="199"/>
      <c r="E115" s="199"/>
      <c r="F115" s="199"/>
      <c r="G115" s="58"/>
      <c r="H115" s="47" t="s">
        <v>23</v>
      </c>
      <c r="I115" s="24"/>
      <c r="J115" s="24"/>
      <c r="K115" s="24"/>
      <c r="L115" s="53">
        <f>IF($E$44="","",VLOOKUP($E$44,Base!$A$3:$BS$40,35,FALSE))</f>
        <v>13</v>
      </c>
      <c r="M115" s="53">
        <f>IF($E$44="","",VLOOKUP($E$44,Base!$A$3:$BS$40,36,FALSE))</f>
        <v>15</v>
      </c>
      <c r="N115" s="53">
        <f>SUM(L115:M115)</f>
        <v>28</v>
      </c>
      <c r="O115" s="53" t="str">
        <f>IF($E$44="","",VLOOKUP($E$44,Base!$A$3:$BS$40,37,FALSE))</f>
        <v xml:space="preserve"> </v>
      </c>
      <c r="P115" s="108"/>
    </row>
    <row r="116" spans="2:16" ht="17.25" customHeight="1" x14ac:dyDescent="0.2">
      <c r="B116" s="154"/>
      <c r="C116" s="199"/>
      <c r="D116" s="199"/>
      <c r="E116" s="199"/>
      <c r="F116" s="199"/>
      <c r="G116" s="58"/>
      <c r="H116" s="36" t="s">
        <v>335</v>
      </c>
      <c r="I116" s="24"/>
      <c r="J116" s="24"/>
      <c r="K116" s="24"/>
      <c r="L116" s="53">
        <f>IF($E$44="","",VLOOKUP($E$44,Base!$A$3:$BS$40,38,FALSE))</f>
        <v>447</v>
      </c>
      <c r="M116" s="53">
        <f>IF($E$44="","",VLOOKUP($E$44,Base!$A$3:$BS$40,39,FALSE))</f>
        <v>362</v>
      </c>
      <c r="N116" s="53">
        <f t="shared" ref="N116:N121" si="0">SUM(L116:M116)</f>
        <v>809</v>
      </c>
      <c r="O116" s="53" t="str">
        <f>IF($E$44="","",VLOOKUP($E$44,Base!$A$3:$BS$40,40,FALSE))</f>
        <v xml:space="preserve"> </v>
      </c>
      <c r="P116" s="108"/>
    </row>
    <row r="117" spans="2:16" ht="17.25" customHeight="1" x14ac:dyDescent="0.2">
      <c r="B117" s="153"/>
      <c r="C117" s="199"/>
      <c r="D117" s="199"/>
      <c r="E117" s="199"/>
      <c r="F117" s="199"/>
      <c r="G117" s="58"/>
      <c r="H117" s="36" t="s">
        <v>56</v>
      </c>
      <c r="I117" s="24"/>
      <c r="J117" s="24"/>
      <c r="K117" s="24"/>
      <c r="L117" s="53" t="str">
        <f>IF($E$44="","",VLOOKUP($E$44,Base!$A$3:$BS$40,41,FALSE))</f>
        <v xml:space="preserve"> </v>
      </c>
      <c r="M117" s="53" t="str">
        <f>IF($E$44="","",VLOOKUP($E$44,Base!$A$3:$BS$40,42,FALSE))</f>
        <v xml:space="preserve"> </v>
      </c>
      <c r="N117" s="53">
        <f t="shared" si="0"/>
        <v>0</v>
      </c>
      <c r="O117" s="53" t="str">
        <f>IF($E$44="","",VLOOKUP($E$44,Base!$A$3:$BS$40,43,FALSE))</f>
        <v xml:space="preserve"> </v>
      </c>
      <c r="P117" s="108"/>
    </row>
    <row r="118" spans="2:16" ht="17.25" customHeight="1" x14ac:dyDescent="0.2">
      <c r="B118" s="153"/>
      <c r="C118" s="199"/>
      <c r="D118" s="199"/>
      <c r="E118" s="199"/>
      <c r="F118" s="199"/>
      <c r="G118" s="58"/>
      <c r="H118" s="36" t="s">
        <v>57</v>
      </c>
      <c r="I118" s="24"/>
      <c r="J118" s="24"/>
      <c r="K118" s="24"/>
      <c r="L118" s="53" t="str">
        <f>IF($E$44="","",VLOOKUP($E$44,Base!$A$3:$BS$40,44,FALSE))</f>
        <v xml:space="preserve"> </v>
      </c>
      <c r="M118" s="53" t="str">
        <f>IF($E$44="","",VLOOKUP($E$44,Base!$A$3:$BS$40,45,FALSE))</f>
        <v xml:space="preserve"> </v>
      </c>
      <c r="N118" s="53">
        <f t="shared" si="0"/>
        <v>0</v>
      </c>
      <c r="O118" s="53" t="str">
        <f>IF($E$44="","",VLOOKUP($E$44,Base!$A$3:$BS$40,46,FALSE))</f>
        <v xml:space="preserve"> </v>
      </c>
      <c r="P118" s="108"/>
    </row>
    <row r="119" spans="2:16" ht="17.25" customHeight="1" x14ac:dyDescent="0.2">
      <c r="B119" s="104"/>
      <c r="C119" s="69" t="s">
        <v>15</v>
      </c>
      <c r="D119" s="24"/>
      <c r="E119" s="24"/>
      <c r="F119" s="24"/>
      <c r="G119" s="24"/>
      <c r="H119" s="45" t="s">
        <v>24</v>
      </c>
      <c r="I119" s="24"/>
      <c r="J119" s="24"/>
      <c r="K119" s="24"/>
      <c r="L119" s="53" t="str">
        <f>IF($E$44="","",VLOOKUP($E$44,Base!$A$3:$BS$40,47,FALSE))</f>
        <v xml:space="preserve"> </v>
      </c>
      <c r="M119" s="53" t="str">
        <f>IF($E$44="","",VLOOKUP($E$44,Base!$A$3:$BS$40,48,FALSE))</f>
        <v xml:space="preserve"> </v>
      </c>
      <c r="N119" s="53">
        <f t="shared" si="0"/>
        <v>0</v>
      </c>
      <c r="O119" s="53" t="str">
        <f>IF($E$44="","",VLOOKUP($E$44,Base!$A$3:$BS$40,49,FALSE))</f>
        <v xml:space="preserve"> </v>
      </c>
      <c r="P119" s="108"/>
    </row>
    <row r="120" spans="2:16" ht="17.25" customHeight="1" x14ac:dyDescent="0.2">
      <c r="B120" s="153"/>
      <c r="C120" s="199" t="s">
        <v>22</v>
      </c>
      <c r="D120" s="199"/>
      <c r="E120" s="199"/>
      <c r="F120" s="199"/>
      <c r="G120" s="58"/>
      <c r="H120" s="45" t="s">
        <v>25</v>
      </c>
      <c r="I120" s="24"/>
      <c r="J120" s="24"/>
      <c r="K120" s="24"/>
      <c r="L120" s="53">
        <f>IF($E$44="","",VLOOKUP($E$44,Base!$A$3:$BS$40,50,FALSE))</f>
        <v>49</v>
      </c>
      <c r="M120" s="53">
        <f>IF($E$44="","",VLOOKUP($E$44,Base!$A$3:$BS$40,51,FALSE))</f>
        <v>75</v>
      </c>
      <c r="N120" s="53">
        <f t="shared" si="0"/>
        <v>124</v>
      </c>
      <c r="O120" s="53" t="str">
        <f>IF($E$44="","",VLOOKUP($E$44,Base!$A$3:$BS$40,52,FALSE))</f>
        <v xml:space="preserve"> </v>
      </c>
      <c r="P120" s="108"/>
    </row>
    <row r="121" spans="2:16" ht="17.25" customHeight="1" x14ac:dyDescent="0.2">
      <c r="B121" s="104"/>
      <c r="C121" s="199"/>
      <c r="D121" s="199"/>
      <c r="E121" s="199"/>
      <c r="F121" s="199"/>
      <c r="G121" s="58"/>
      <c r="H121" s="47" t="s">
        <v>26</v>
      </c>
      <c r="I121" s="24"/>
      <c r="J121" s="24"/>
      <c r="K121" s="24"/>
      <c r="L121" s="53">
        <f>IF($E$44="","",VLOOKUP($E$44,Base!$A$3:$BS$40,53,FALSE))</f>
        <v>17</v>
      </c>
      <c r="M121" s="53">
        <f>IF($E$44="","",VLOOKUP($E$44,Base!$A$3:$BS$40,54,FALSE))</f>
        <v>11</v>
      </c>
      <c r="N121" s="53">
        <f t="shared" si="0"/>
        <v>28</v>
      </c>
      <c r="O121" s="53" t="str">
        <f>IF($E$44="","",VLOOKUP($E$44,Base!$A$3:$BS$40,55,FALSE))</f>
        <v xml:space="preserve"> </v>
      </c>
      <c r="P121" s="108"/>
    </row>
    <row r="122" spans="2:16" ht="15" customHeight="1" x14ac:dyDescent="0.2">
      <c r="B122" s="104"/>
      <c r="C122" s="199" t="s">
        <v>121</v>
      </c>
      <c r="D122" s="199"/>
      <c r="E122" s="199"/>
      <c r="F122" s="199"/>
      <c r="G122" s="58"/>
      <c r="H122" s="24"/>
      <c r="I122" s="24"/>
      <c r="J122" s="24"/>
      <c r="K122" s="24"/>
      <c r="L122" s="24"/>
      <c r="M122" s="24"/>
      <c r="N122" s="24"/>
      <c r="O122" s="24"/>
      <c r="P122" s="108"/>
    </row>
    <row r="123" spans="2:16" ht="15" customHeight="1" x14ac:dyDescent="0.2">
      <c r="B123" s="158"/>
      <c r="C123" s="199"/>
      <c r="D123" s="199"/>
      <c r="E123" s="199"/>
      <c r="F123" s="199"/>
      <c r="G123" s="58"/>
      <c r="H123" s="202" t="s">
        <v>362</v>
      </c>
      <c r="I123" s="202"/>
      <c r="J123" s="202"/>
      <c r="K123" s="202"/>
      <c r="L123" s="24"/>
      <c r="M123" s="24"/>
      <c r="N123" s="24"/>
      <c r="O123" s="24"/>
      <c r="P123" s="108"/>
    </row>
    <row r="124" spans="2:16" ht="15" customHeight="1" x14ac:dyDescent="0.2">
      <c r="B124" s="104"/>
      <c r="C124" s="199"/>
      <c r="D124" s="199"/>
      <c r="E124" s="199"/>
      <c r="F124" s="199"/>
      <c r="G124" s="58"/>
      <c r="H124" s="202"/>
      <c r="I124" s="202"/>
      <c r="J124" s="202"/>
      <c r="K124" s="202"/>
      <c r="L124" s="53">
        <f>SUM(L115:L121)</f>
        <v>526</v>
      </c>
      <c r="M124" s="53">
        <f>SUM(M115:M121)</f>
        <v>463</v>
      </c>
      <c r="N124" s="53">
        <f>SUM(N115:N121)</f>
        <v>989</v>
      </c>
      <c r="O124" s="53">
        <f>SUM(O115:O121)</f>
        <v>0</v>
      </c>
      <c r="P124" s="108"/>
    </row>
    <row r="125" spans="2:16" x14ac:dyDescent="0.2">
      <c r="B125" s="104"/>
      <c r="C125" s="24"/>
      <c r="D125" s="24"/>
      <c r="E125" s="24"/>
      <c r="F125" s="24"/>
      <c r="G125" s="24"/>
      <c r="H125" s="202"/>
      <c r="I125" s="202"/>
      <c r="J125" s="202"/>
      <c r="K125" s="202"/>
      <c r="L125" s="24"/>
      <c r="M125" s="24"/>
      <c r="N125" s="24"/>
      <c r="O125" s="24"/>
      <c r="P125" s="108"/>
    </row>
    <row r="126" spans="2:16" x14ac:dyDescent="0.2">
      <c r="B126" s="153"/>
      <c r="C126" s="24"/>
      <c r="D126" s="24"/>
      <c r="E126" s="24"/>
      <c r="F126" s="24"/>
      <c r="G126" s="24"/>
      <c r="H126" s="202"/>
      <c r="I126" s="202"/>
      <c r="J126" s="202"/>
      <c r="K126" s="202"/>
      <c r="L126" s="24"/>
      <c r="M126" s="24"/>
      <c r="N126" s="24"/>
      <c r="O126" s="24"/>
      <c r="P126" s="108"/>
    </row>
    <row r="127" spans="2:16" ht="15" customHeight="1" x14ac:dyDescent="0.2">
      <c r="B127" s="153"/>
      <c r="C127" s="24"/>
      <c r="D127" s="24"/>
      <c r="E127" s="24"/>
      <c r="F127" s="24"/>
      <c r="G127" s="24"/>
      <c r="H127" s="202" t="s">
        <v>363</v>
      </c>
      <c r="I127" s="202"/>
      <c r="J127" s="202"/>
      <c r="K127" s="202"/>
      <c r="L127" s="24"/>
      <c r="M127" s="24"/>
      <c r="N127" s="24"/>
      <c r="O127" s="24"/>
      <c r="P127" s="108"/>
    </row>
    <row r="128" spans="2:16" x14ac:dyDescent="0.2">
      <c r="B128" s="153"/>
      <c r="C128" s="24"/>
      <c r="D128" s="24"/>
      <c r="E128" s="24"/>
      <c r="F128" s="24"/>
      <c r="G128" s="24"/>
      <c r="H128" s="202"/>
      <c r="I128" s="202"/>
      <c r="J128" s="202"/>
      <c r="K128" s="202"/>
      <c r="L128" s="53">
        <f>+K102+L124</f>
        <v>576</v>
      </c>
      <c r="M128" s="53">
        <f>+L102+M124</f>
        <v>508</v>
      </c>
      <c r="N128" s="53">
        <f>+M102+N124</f>
        <v>1084</v>
      </c>
      <c r="O128" s="53">
        <f>+N102+O124</f>
        <v>1</v>
      </c>
      <c r="P128" s="108"/>
    </row>
    <row r="129" spans="2:16" x14ac:dyDescent="0.2">
      <c r="B129" s="153"/>
      <c r="C129" s="24"/>
      <c r="D129" s="24"/>
      <c r="E129" s="24"/>
      <c r="F129" s="24"/>
      <c r="G129" s="24"/>
      <c r="H129" s="202"/>
      <c r="I129" s="202"/>
      <c r="J129" s="202"/>
      <c r="K129" s="202"/>
      <c r="L129" s="24"/>
      <c r="M129" s="24"/>
      <c r="N129" s="24"/>
      <c r="O129" s="24"/>
      <c r="P129" s="108"/>
    </row>
    <row r="130" spans="2:16" x14ac:dyDescent="0.2">
      <c r="B130" s="153"/>
      <c r="C130" s="24"/>
      <c r="D130" s="24"/>
      <c r="E130" s="24"/>
      <c r="F130" s="24"/>
      <c r="G130" s="24"/>
      <c r="H130" s="202"/>
      <c r="I130" s="202"/>
      <c r="J130" s="202"/>
      <c r="K130" s="202"/>
      <c r="L130" s="24"/>
      <c r="M130" s="24"/>
      <c r="N130" s="24"/>
      <c r="O130" s="24"/>
      <c r="P130" s="108"/>
    </row>
    <row r="131" spans="2:16" x14ac:dyDescent="0.2">
      <c r="B131" s="153"/>
      <c r="C131" s="24"/>
      <c r="D131" s="24"/>
      <c r="E131" s="24"/>
      <c r="F131" s="24"/>
      <c r="G131" s="24"/>
      <c r="H131" s="76"/>
      <c r="I131" s="76"/>
      <c r="J131" s="76"/>
      <c r="K131" s="76"/>
      <c r="L131" s="24"/>
      <c r="M131" s="24"/>
      <c r="N131" s="24"/>
      <c r="O131" s="24"/>
      <c r="P131" s="108"/>
    </row>
    <row r="132" spans="2:16" x14ac:dyDescent="0.2">
      <c r="B132" s="153"/>
      <c r="C132" s="24"/>
      <c r="D132" s="24"/>
      <c r="E132" s="24"/>
      <c r="F132" s="24"/>
      <c r="G132" s="24"/>
      <c r="H132" s="76"/>
      <c r="I132" s="76"/>
      <c r="J132" s="76"/>
      <c r="K132" s="76"/>
      <c r="L132" s="24"/>
      <c r="M132" s="24"/>
      <c r="N132" s="24"/>
      <c r="O132" s="24"/>
      <c r="P132" s="108"/>
    </row>
    <row r="133" spans="2:16" ht="17.25" customHeight="1" x14ac:dyDescent="0.2">
      <c r="B133" s="159"/>
      <c r="C133" s="206" t="s">
        <v>364</v>
      </c>
      <c r="D133" s="206"/>
      <c r="E133" s="206"/>
      <c r="F133" s="206"/>
      <c r="G133" s="24"/>
      <c r="H133" s="69" t="s">
        <v>27</v>
      </c>
      <c r="I133" s="24"/>
      <c r="J133" s="24"/>
      <c r="K133" s="205" t="s">
        <v>28</v>
      </c>
      <c r="L133" s="205"/>
      <c r="M133" s="205"/>
      <c r="N133" s="24"/>
      <c r="O133" s="24"/>
      <c r="P133" s="108"/>
    </row>
    <row r="134" spans="2:16" ht="17.25" customHeight="1" x14ac:dyDescent="0.2">
      <c r="B134" s="104"/>
      <c r="C134" s="206"/>
      <c r="D134" s="206"/>
      <c r="E134" s="206"/>
      <c r="F134" s="206"/>
      <c r="G134" s="24"/>
      <c r="H134" s="77" t="s">
        <v>29</v>
      </c>
      <c r="I134" s="24"/>
      <c r="J134" s="24"/>
      <c r="K134" s="24"/>
      <c r="L134" s="53" t="str">
        <f>IF($E$44="","",VLOOKUP($E$44,Base!$A$3:$BS$40,56,FALSE))</f>
        <v xml:space="preserve"> </v>
      </c>
      <c r="M134" s="24"/>
      <c r="N134" s="24"/>
      <c r="O134" s="24"/>
      <c r="P134" s="108"/>
    </row>
    <row r="135" spans="2:16" ht="17.25" customHeight="1" x14ac:dyDescent="0.2">
      <c r="B135" s="104"/>
      <c r="C135" s="206"/>
      <c r="D135" s="206"/>
      <c r="E135" s="206"/>
      <c r="F135" s="206"/>
      <c r="G135" s="24"/>
      <c r="H135" s="77" t="s">
        <v>30</v>
      </c>
      <c r="I135" s="24"/>
      <c r="J135" s="24"/>
      <c r="K135" s="24"/>
      <c r="L135" s="53" t="str">
        <f>IF($E$44="","",VLOOKUP($E$44,Base!$A$3:$BS$40,57,FALSE))</f>
        <v xml:space="preserve"> </v>
      </c>
      <c r="M135" s="24"/>
      <c r="N135" s="24"/>
      <c r="O135" s="24"/>
      <c r="P135" s="108"/>
    </row>
    <row r="136" spans="2:16" ht="17.25" customHeight="1" x14ac:dyDescent="0.2">
      <c r="B136" s="160"/>
      <c r="C136" s="206"/>
      <c r="D136" s="206"/>
      <c r="E136" s="206"/>
      <c r="F136" s="206"/>
      <c r="G136" s="24"/>
      <c r="H136" s="77" t="s">
        <v>31</v>
      </c>
      <c r="I136" s="24"/>
      <c r="J136" s="24"/>
      <c r="K136" s="24"/>
      <c r="L136" s="53" t="str">
        <f>IF($E$44="","",VLOOKUP($E$44,Base!$A$3:$BS$40,58,FALSE))</f>
        <v xml:space="preserve"> </v>
      </c>
      <c r="M136" s="24"/>
      <c r="N136" s="24"/>
      <c r="O136" s="24"/>
      <c r="P136" s="108"/>
    </row>
    <row r="137" spans="2:16" ht="17.25" customHeight="1" x14ac:dyDescent="0.2">
      <c r="B137" s="104"/>
      <c r="C137" s="24"/>
      <c r="D137" s="24"/>
      <c r="E137" s="24"/>
      <c r="F137" s="24"/>
      <c r="G137" s="24"/>
      <c r="H137" s="77" t="s">
        <v>32</v>
      </c>
      <c r="I137" s="24"/>
      <c r="J137" s="24"/>
      <c r="K137" s="24"/>
      <c r="L137" s="53" t="str">
        <f>IF($E$44="","",VLOOKUP($E$44,Base!$A$3:$BS$40,59,FALSE))</f>
        <v xml:space="preserve"> </v>
      </c>
      <c r="M137" s="24"/>
      <c r="N137" s="24"/>
      <c r="O137" s="24"/>
      <c r="P137" s="108"/>
    </row>
    <row r="138" spans="2:16" ht="17.25" customHeight="1" x14ac:dyDescent="0.2">
      <c r="B138" s="152"/>
      <c r="C138" s="24"/>
      <c r="D138" s="24"/>
      <c r="E138" s="24"/>
      <c r="F138" s="24"/>
      <c r="G138" s="24"/>
      <c r="H138" s="77" t="s">
        <v>33</v>
      </c>
      <c r="I138" s="24"/>
      <c r="J138" s="24"/>
      <c r="K138" s="24"/>
      <c r="L138" s="53" t="str">
        <f>IF($E$44="","",VLOOKUP($E$44,Base!$A$3:$BS$40,60,FALSE))</f>
        <v xml:space="preserve"> </v>
      </c>
      <c r="M138" s="24"/>
      <c r="N138" s="24"/>
      <c r="O138" s="24"/>
      <c r="P138" s="108"/>
    </row>
    <row r="139" spans="2:16" ht="17.25" customHeight="1" x14ac:dyDescent="0.2">
      <c r="B139" s="104"/>
      <c r="C139" s="24"/>
      <c r="D139" s="24"/>
      <c r="E139" s="24"/>
      <c r="F139" s="24"/>
      <c r="G139" s="24"/>
      <c r="H139" s="77" t="s">
        <v>34</v>
      </c>
      <c r="I139" s="24"/>
      <c r="J139" s="24"/>
      <c r="K139" s="24"/>
      <c r="L139" s="53" t="str">
        <f>IF($E$44="","",VLOOKUP($E$44,Base!$A$3:$BS$40,61,FALSE))</f>
        <v xml:space="preserve"> </v>
      </c>
      <c r="M139" s="24"/>
      <c r="N139" s="24"/>
      <c r="O139" s="24"/>
      <c r="P139" s="108"/>
    </row>
    <row r="140" spans="2:16" ht="17.25" customHeight="1" x14ac:dyDescent="0.2">
      <c r="B140" s="104"/>
      <c r="C140" s="24"/>
      <c r="D140" s="24"/>
      <c r="E140" s="24"/>
      <c r="F140" s="24"/>
      <c r="G140" s="24"/>
      <c r="H140" s="46"/>
      <c r="I140" s="24"/>
      <c r="J140" s="24"/>
      <c r="K140" s="24"/>
      <c r="L140" s="24"/>
      <c r="M140" s="24"/>
      <c r="N140" s="24"/>
      <c r="O140" s="24"/>
      <c r="P140" s="108"/>
    </row>
    <row r="141" spans="2:16" ht="17.25" customHeight="1" x14ac:dyDescent="0.2">
      <c r="B141" s="104"/>
      <c r="C141" s="24"/>
      <c r="D141" s="24"/>
      <c r="E141" s="24"/>
      <c r="F141" s="24"/>
      <c r="G141" s="24"/>
      <c r="H141" s="69" t="s">
        <v>9</v>
      </c>
      <c r="I141" s="24"/>
      <c r="J141" s="24"/>
      <c r="K141" s="24"/>
      <c r="L141" s="53">
        <f>SUM(L134:L139)</f>
        <v>0</v>
      </c>
      <c r="M141" s="24"/>
      <c r="N141" s="24"/>
      <c r="O141" s="122" t="s">
        <v>365</v>
      </c>
      <c r="P141" s="108"/>
    </row>
    <row r="142" spans="2:16" ht="15" thickBot="1" x14ac:dyDescent="0.25">
      <c r="B142" s="145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23" t="s">
        <v>361</v>
      </c>
      <c r="P142" s="148"/>
    </row>
    <row r="144" spans="2:16" ht="15" thickBot="1" x14ac:dyDescent="0.25"/>
    <row r="145" spans="2:16" ht="9" customHeight="1" x14ac:dyDescent="0.2">
      <c r="B145" s="112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5"/>
      <c r="P145" s="119"/>
    </row>
    <row r="146" spans="2:16" ht="28.5" x14ac:dyDescent="0.2">
      <c r="B146" s="113"/>
      <c r="C146" s="81" t="s">
        <v>456</v>
      </c>
      <c r="D146" s="81"/>
      <c r="E146" s="81"/>
      <c r="F146" s="81"/>
      <c r="G146" s="81"/>
      <c r="H146" s="81"/>
      <c r="I146" s="24"/>
      <c r="J146" s="24"/>
      <c r="K146" s="81" t="s">
        <v>357</v>
      </c>
      <c r="L146" s="81"/>
      <c r="M146" s="81"/>
      <c r="N146" s="81"/>
      <c r="O146" s="111" t="s">
        <v>358</v>
      </c>
      <c r="P146" s="120"/>
    </row>
    <row r="147" spans="2:16" ht="10.5" customHeight="1" x14ac:dyDescent="0.2">
      <c r="B147" s="113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7"/>
      <c r="P147" s="118"/>
    </row>
    <row r="148" spans="2:16" x14ac:dyDescent="0.2">
      <c r="B148" s="10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60"/>
      <c r="P148" s="108"/>
    </row>
    <row r="149" spans="2:16" ht="15.75" x14ac:dyDescent="0.2">
      <c r="B149" s="104"/>
      <c r="C149" s="67" t="s">
        <v>35</v>
      </c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108"/>
    </row>
    <row r="150" spans="2:16" x14ac:dyDescent="0.2">
      <c r="B150" s="104"/>
      <c r="C150" s="199" t="s">
        <v>367</v>
      </c>
      <c r="D150" s="199"/>
      <c r="E150" s="199"/>
      <c r="F150" s="199"/>
      <c r="G150" s="24"/>
      <c r="H150" s="24"/>
      <c r="I150" s="24"/>
      <c r="J150" s="24"/>
      <c r="K150" s="24"/>
      <c r="L150" s="209" t="s">
        <v>36</v>
      </c>
      <c r="M150" s="209"/>
      <c r="N150" s="24"/>
      <c r="O150" s="24"/>
      <c r="P150" s="108"/>
    </row>
    <row r="151" spans="2:16" ht="19.5" customHeight="1" x14ac:dyDescent="0.2">
      <c r="B151" s="104"/>
      <c r="C151" s="199"/>
      <c r="D151" s="199"/>
      <c r="E151" s="199"/>
      <c r="F151" s="199"/>
      <c r="G151" s="24"/>
      <c r="H151" s="24"/>
      <c r="I151" s="24"/>
      <c r="J151" s="45" t="s">
        <v>122</v>
      </c>
      <c r="K151" s="24"/>
      <c r="L151" s="207">
        <f>IF($E$44="","",VLOOKUP($E$44,Base!$A$3:$BS$40,63,FALSE))</f>
        <v>51138</v>
      </c>
      <c r="M151" s="208"/>
      <c r="N151" s="24"/>
      <c r="O151" s="24"/>
      <c r="P151" s="108"/>
    </row>
    <row r="152" spans="2:16" ht="19.5" customHeight="1" x14ac:dyDescent="0.2">
      <c r="B152" s="104"/>
      <c r="C152" s="125"/>
      <c r="D152" s="125"/>
      <c r="E152" s="125"/>
      <c r="F152" s="125"/>
      <c r="G152" s="24"/>
      <c r="H152" s="24"/>
      <c r="I152" s="24"/>
      <c r="J152" s="45" t="s">
        <v>123</v>
      </c>
      <c r="K152" s="24"/>
      <c r="L152" s="207">
        <f>IF($E$44="","",VLOOKUP($E$44,Base!$A$3:$BS$40,64,FALSE))</f>
        <v>53187</v>
      </c>
      <c r="M152" s="208"/>
      <c r="N152" s="24"/>
      <c r="O152" s="24"/>
      <c r="P152" s="108"/>
    </row>
    <row r="153" spans="2:16" ht="19.5" customHeight="1" x14ac:dyDescent="0.2">
      <c r="B153" s="104"/>
      <c r="C153" s="125"/>
      <c r="D153" s="125"/>
      <c r="E153" s="125"/>
      <c r="F153" s="125"/>
      <c r="G153" s="24"/>
      <c r="H153" s="24"/>
      <c r="I153" s="24"/>
      <c r="J153" s="45" t="s">
        <v>124</v>
      </c>
      <c r="K153" s="24"/>
      <c r="L153" s="207">
        <f>IF($E$44="","",VLOOKUP($E$44,Base!$A$3:$BS$40,65,FALSE))</f>
        <v>20801</v>
      </c>
      <c r="M153" s="208"/>
      <c r="N153" s="24"/>
      <c r="O153" s="24"/>
      <c r="P153" s="108"/>
    </row>
    <row r="154" spans="2:16" ht="19.5" customHeight="1" x14ac:dyDescent="0.2">
      <c r="B154" s="153"/>
      <c r="C154" s="125"/>
      <c r="D154" s="125"/>
      <c r="E154" s="125"/>
      <c r="F154" s="125"/>
      <c r="G154" s="24"/>
      <c r="H154" s="24"/>
      <c r="I154" s="24"/>
      <c r="J154" s="47" t="s">
        <v>26</v>
      </c>
      <c r="K154" s="24"/>
      <c r="L154" s="207">
        <f>IF($E$44="","",VLOOKUP($E$44,Base!$A$3:$BS$40,66,FALSE))</f>
        <v>0</v>
      </c>
      <c r="M154" s="208"/>
      <c r="N154" s="24"/>
      <c r="O154" s="24"/>
      <c r="P154" s="108"/>
    </row>
    <row r="155" spans="2:16" ht="9.75" customHeight="1" x14ac:dyDescent="0.2">
      <c r="B155" s="161"/>
      <c r="C155" s="125"/>
      <c r="D155" s="125"/>
      <c r="E155" s="125"/>
      <c r="F155" s="125"/>
      <c r="G155" s="24"/>
      <c r="H155" s="24"/>
      <c r="I155" s="24"/>
      <c r="J155" s="24"/>
      <c r="K155" s="24"/>
      <c r="L155" s="65"/>
      <c r="M155" s="65"/>
      <c r="N155" s="24"/>
      <c r="O155" s="24"/>
      <c r="P155" s="108"/>
    </row>
    <row r="156" spans="2:16" ht="19.5" customHeight="1" x14ac:dyDescent="0.2">
      <c r="B156" s="104"/>
      <c r="C156" s="125"/>
      <c r="D156" s="125"/>
      <c r="E156" s="125"/>
      <c r="F156" s="125"/>
      <c r="G156" s="24"/>
      <c r="H156" s="24"/>
      <c r="I156" s="24"/>
      <c r="J156" s="78" t="s">
        <v>9</v>
      </c>
      <c r="K156" s="24"/>
      <c r="L156" s="207">
        <f>SUM(L151:M154)</f>
        <v>125126</v>
      </c>
      <c r="M156" s="208"/>
      <c r="N156" s="24"/>
      <c r="O156" s="24"/>
      <c r="P156" s="108"/>
    </row>
    <row r="157" spans="2:16" x14ac:dyDescent="0.2">
      <c r="B157" s="104"/>
      <c r="C157" s="125"/>
      <c r="D157" s="125"/>
      <c r="E157" s="125"/>
      <c r="F157" s="125"/>
      <c r="G157" s="24"/>
      <c r="H157" s="24"/>
      <c r="I157" s="24"/>
      <c r="J157" s="24"/>
      <c r="K157" s="24"/>
      <c r="L157" s="24"/>
      <c r="M157" s="24"/>
      <c r="N157" s="24"/>
      <c r="O157" s="24"/>
      <c r="P157" s="108"/>
    </row>
    <row r="158" spans="2:16" x14ac:dyDescent="0.2">
      <c r="B158" s="104"/>
      <c r="C158" s="125"/>
      <c r="D158" s="125"/>
      <c r="E158" s="125"/>
      <c r="F158" s="125"/>
      <c r="G158" s="24"/>
      <c r="H158" s="24"/>
      <c r="I158" s="24"/>
      <c r="J158" s="24"/>
      <c r="K158" s="24"/>
      <c r="L158" s="24"/>
      <c r="M158" s="24"/>
      <c r="N158" s="24"/>
      <c r="O158" s="24"/>
      <c r="P158" s="108"/>
    </row>
    <row r="159" spans="2:16" x14ac:dyDescent="0.2">
      <c r="B159" s="153"/>
      <c r="C159" s="199" t="s">
        <v>366</v>
      </c>
      <c r="D159" s="199"/>
      <c r="E159" s="199"/>
      <c r="F159" s="199"/>
      <c r="G159" s="24"/>
      <c r="H159" s="24"/>
      <c r="I159" s="24"/>
      <c r="J159" s="24"/>
      <c r="K159" s="24"/>
      <c r="L159" s="204" t="s">
        <v>37</v>
      </c>
      <c r="M159" s="204"/>
      <c r="N159" s="24"/>
      <c r="O159" s="24"/>
      <c r="P159" s="108"/>
    </row>
    <row r="160" spans="2:16" ht="19.5" customHeight="1" x14ac:dyDescent="0.2">
      <c r="B160" s="153"/>
      <c r="C160" s="199"/>
      <c r="D160" s="199"/>
      <c r="E160" s="199"/>
      <c r="F160" s="199"/>
      <c r="G160" s="24"/>
      <c r="H160" s="24"/>
      <c r="I160" s="24"/>
      <c r="J160" s="45" t="s">
        <v>29</v>
      </c>
      <c r="K160" s="24"/>
      <c r="L160" s="207">
        <f>IF($E$44="","",VLOOKUP($E$44,Base!$A$3:$BS$40,67,FALSE))</f>
        <v>86372.65448172258</v>
      </c>
      <c r="M160" s="208"/>
      <c r="N160" s="24"/>
      <c r="O160" s="24"/>
      <c r="P160" s="108"/>
    </row>
    <row r="161" spans="2:16" ht="19.5" customHeight="1" x14ac:dyDescent="0.2">
      <c r="B161" s="104"/>
      <c r="C161" s="24"/>
      <c r="D161" s="24"/>
      <c r="E161" s="24"/>
      <c r="F161" s="24"/>
      <c r="G161" s="24"/>
      <c r="H161" s="24"/>
      <c r="I161" s="24"/>
      <c r="J161" s="45" t="s">
        <v>125</v>
      </c>
      <c r="K161" s="24"/>
      <c r="L161" s="207">
        <f>IF($E$44="","",VLOOKUP($E$44,Base!$A$3:$BS$40,68,FALSE))</f>
        <v>0</v>
      </c>
      <c r="M161" s="208"/>
      <c r="N161" s="24"/>
      <c r="O161" s="24"/>
      <c r="P161" s="108"/>
    </row>
    <row r="162" spans="2:16" ht="19.5" customHeight="1" x14ac:dyDescent="0.2">
      <c r="B162" s="153"/>
      <c r="C162" s="24"/>
      <c r="D162" s="24"/>
      <c r="E162" s="24"/>
      <c r="F162" s="24"/>
      <c r="G162" s="24"/>
      <c r="H162" s="24"/>
      <c r="I162" s="24"/>
      <c r="J162" s="45" t="s">
        <v>5</v>
      </c>
      <c r="K162" s="24"/>
      <c r="L162" s="207">
        <f>IF($E$44="","",VLOOKUP($E$44,Base!$A$3:$BS$40,69,FALSE))</f>
        <v>1701.3781441392857</v>
      </c>
      <c r="M162" s="208"/>
      <c r="N162" s="24"/>
      <c r="O162" s="24"/>
      <c r="P162" s="108"/>
    </row>
    <row r="163" spans="2:16" ht="19.5" customHeight="1" x14ac:dyDescent="0.2">
      <c r="B163" s="153"/>
      <c r="C163" s="24"/>
      <c r="D163" s="24"/>
      <c r="E163" s="24"/>
      <c r="F163" s="24"/>
      <c r="G163" s="24"/>
      <c r="H163" s="24"/>
      <c r="I163" s="24"/>
      <c r="J163" s="45" t="s">
        <v>126</v>
      </c>
      <c r="K163" s="24"/>
      <c r="L163" s="207">
        <f>IF($E$44="","",VLOOKUP($E$44,Base!$A$3:$BS$40,70,FALSE))</f>
        <v>36739.887388775474</v>
      </c>
      <c r="M163" s="208"/>
      <c r="N163" s="24"/>
      <c r="O163" s="24"/>
      <c r="P163" s="108"/>
    </row>
    <row r="164" spans="2:16" ht="19.5" customHeight="1" x14ac:dyDescent="0.2">
      <c r="B164" s="153"/>
      <c r="C164" s="24"/>
      <c r="D164" s="24"/>
      <c r="E164" s="24"/>
      <c r="F164" s="24"/>
      <c r="G164" s="24"/>
      <c r="H164" s="24"/>
      <c r="I164" s="24"/>
      <c r="J164" s="45" t="s">
        <v>26</v>
      </c>
      <c r="K164" s="24"/>
      <c r="L164" s="207">
        <f>IF($E$44="","",VLOOKUP($E$44,Base!$A$3:$BS$40,71,FALSE))</f>
        <v>312.07998536265939</v>
      </c>
      <c r="M164" s="208"/>
      <c r="N164" s="24"/>
      <c r="O164" s="24"/>
      <c r="P164" s="108"/>
    </row>
    <row r="165" spans="2:16" ht="11.25" customHeight="1" x14ac:dyDescent="0.2">
      <c r="B165" s="153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108"/>
    </row>
    <row r="166" spans="2:16" ht="19.5" customHeight="1" x14ac:dyDescent="0.2">
      <c r="B166" s="158"/>
      <c r="C166" s="24"/>
      <c r="D166" s="24"/>
      <c r="E166" s="24"/>
      <c r="F166" s="24"/>
      <c r="G166" s="24"/>
      <c r="H166" s="24"/>
      <c r="I166" s="24"/>
      <c r="J166" s="37" t="s">
        <v>9</v>
      </c>
      <c r="K166" s="24"/>
      <c r="L166" s="207">
        <f>SUM(L160:M164)</f>
        <v>125126</v>
      </c>
      <c r="M166" s="208"/>
      <c r="N166" s="24"/>
      <c r="O166" s="24"/>
      <c r="P166" s="108"/>
    </row>
    <row r="167" spans="2:16" x14ac:dyDescent="0.2">
      <c r="B167" s="158"/>
      <c r="C167" s="24"/>
      <c r="D167" s="24"/>
      <c r="E167" s="24"/>
      <c r="F167" s="24"/>
      <c r="G167" s="24"/>
      <c r="H167" s="24"/>
      <c r="I167" s="24"/>
      <c r="J167" s="37"/>
      <c r="K167" s="24"/>
      <c r="L167" s="39"/>
      <c r="M167" s="39"/>
      <c r="N167" s="24"/>
      <c r="O167" s="24"/>
      <c r="P167" s="108"/>
    </row>
    <row r="168" spans="2:16" x14ac:dyDescent="0.2">
      <c r="B168" s="158"/>
      <c r="C168" s="24"/>
      <c r="D168" s="24"/>
      <c r="E168" s="24"/>
      <c r="F168" s="24"/>
      <c r="G168" s="24"/>
      <c r="H168" s="24"/>
      <c r="I168" s="24"/>
      <c r="J168" s="37"/>
      <c r="K168" s="24"/>
      <c r="L168" s="39"/>
      <c r="M168" s="39"/>
      <c r="N168" s="24"/>
      <c r="O168" s="24"/>
      <c r="P168" s="108"/>
    </row>
    <row r="169" spans="2:16" x14ac:dyDescent="0.2">
      <c r="B169" s="158"/>
      <c r="C169" s="24"/>
      <c r="D169" s="24"/>
      <c r="E169" s="24"/>
      <c r="F169" s="24"/>
      <c r="G169" s="24"/>
      <c r="H169" s="24"/>
      <c r="I169" s="24"/>
      <c r="J169" s="37"/>
      <c r="K169" s="24"/>
      <c r="L169" s="39"/>
      <c r="M169" s="39"/>
      <c r="N169" s="24"/>
      <c r="O169" s="24"/>
      <c r="P169" s="108"/>
    </row>
    <row r="170" spans="2:16" x14ac:dyDescent="0.2">
      <c r="B170" s="158"/>
      <c r="C170" s="24"/>
      <c r="D170" s="24"/>
      <c r="E170" s="24"/>
      <c r="F170" s="24"/>
      <c r="G170" s="24"/>
      <c r="H170" s="24"/>
      <c r="I170" s="24"/>
      <c r="J170" s="37"/>
      <c r="K170" s="24"/>
      <c r="L170" s="39"/>
      <c r="M170" s="39"/>
      <c r="N170" s="24"/>
      <c r="O170" s="24"/>
      <c r="P170" s="108"/>
    </row>
    <row r="171" spans="2:16" x14ac:dyDescent="0.2">
      <c r="B171" s="158"/>
      <c r="C171" s="24"/>
      <c r="D171" s="24"/>
      <c r="E171" s="24"/>
      <c r="F171" s="24"/>
      <c r="G171" s="24"/>
      <c r="H171" s="24"/>
      <c r="I171" s="24"/>
      <c r="J171" s="37"/>
      <c r="K171" s="24"/>
      <c r="L171" s="39"/>
      <c r="M171" s="39"/>
      <c r="N171" s="24"/>
      <c r="O171" s="24"/>
      <c r="P171" s="108"/>
    </row>
    <row r="172" spans="2:16" x14ac:dyDescent="0.2">
      <c r="B172" s="158"/>
      <c r="C172" s="24"/>
      <c r="D172" s="24"/>
      <c r="E172" s="24"/>
      <c r="F172" s="24"/>
      <c r="G172" s="24"/>
      <c r="H172" s="24"/>
      <c r="I172" s="24"/>
      <c r="J172" s="37"/>
      <c r="K172" s="24"/>
      <c r="L172" s="39"/>
      <c r="M172" s="39"/>
      <c r="N172" s="24"/>
      <c r="O172" s="24"/>
      <c r="P172" s="108"/>
    </row>
    <row r="173" spans="2:16" x14ac:dyDescent="0.2">
      <c r="B173" s="158"/>
      <c r="C173" s="24"/>
      <c r="D173" s="24"/>
      <c r="E173" s="24"/>
      <c r="F173" s="24"/>
      <c r="G173" s="24"/>
      <c r="H173" s="24"/>
      <c r="I173" s="24"/>
      <c r="J173" s="37"/>
      <c r="K173" s="24"/>
      <c r="L173" s="39"/>
      <c r="M173" s="39"/>
      <c r="N173" s="24"/>
      <c r="O173" s="24"/>
      <c r="P173" s="108"/>
    </row>
    <row r="174" spans="2:16" x14ac:dyDescent="0.2">
      <c r="B174" s="158"/>
      <c r="C174" s="24"/>
      <c r="D174" s="24"/>
      <c r="E174" s="24"/>
      <c r="F174" s="24"/>
      <c r="G174" s="24"/>
      <c r="H174" s="24"/>
      <c r="I174" s="24"/>
      <c r="J174" s="37"/>
      <c r="K174" s="24"/>
      <c r="L174" s="39"/>
      <c r="M174" s="39"/>
      <c r="N174" s="24"/>
      <c r="O174" s="24"/>
      <c r="P174" s="108"/>
    </row>
    <row r="175" spans="2:16" x14ac:dyDescent="0.2">
      <c r="B175" s="10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108"/>
    </row>
    <row r="176" spans="2:16" x14ac:dyDescent="0.2">
      <c r="B176" s="10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108"/>
    </row>
    <row r="177" spans="2:16" x14ac:dyDescent="0.2">
      <c r="B177" s="10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122" t="s">
        <v>368</v>
      </c>
      <c r="P177" s="108"/>
    </row>
    <row r="178" spans="2:16" ht="15" thickBot="1" x14ac:dyDescent="0.25">
      <c r="B178" s="162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23" t="s">
        <v>361</v>
      </c>
      <c r="P178" s="148"/>
    </row>
    <row r="179" spans="2:16" x14ac:dyDescent="0.2">
      <c r="B179" s="79"/>
    </row>
    <row r="180" spans="2:16" ht="17.25" thickBot="1" x14ac:dyDescent="0.25">
      <c r="B180" s="80"/>
    </row>
    <row r="181" spans="2:16" x14ac:dyDescent="0.2">
      <c r="B181" s="163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9"/>
    </row>
    <row r="182" spans="2:16" ht="15.75" x14ac:dyDescent="0.2">
      <c r="B182" s="113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5"/>
      <c r="P182" s="166"/>
    </row>
    <row r="183" spans="2:16" ht="18" x14ac:dyDescent="0.2">
      <c r="B183" s="113"/>
      <c r="C183" s="164"/>
      <c r="D183" s="164"/>
      <c r="E183" s="164"/>
      <c r="F183" s="225" t="s">
        <v>355</v>
      </c>
      <c r="G183" s="225"/>
      <c r="H183" s="225"/>
      <c r="I183" s="225"/>
      <c r="J183" s="225"/>
      <c r="K183" s="225"/>
      <c r="L183" s="225"/>
      <c r="M183" s="164"/>
      <c r="N183" s="164"/>
      <c r="O183" s="164"/>
      <c r="P183" s="118"/>
    </row>
    <row r="184" spans="2:16" ht="18" x14ac:dyDescent="0.2">
      <c r="B184" s="113"/>
      <c r="C184" s="164"/>
      <c r="D184" s="164"/>
      <c r="E184" s="164"/>
      <c r="F184" s="225" t="s">
        <v>356</v>
      </c>
      <c r="G184" s="225"/>
      <c r="H184" s="225"/>
      <c r="I184" s="225"/>
      <c r="J184" s="225"/>
      <c r="K184" s="225"/>
      <c r="L184" s="225"/>
      <c r="M184" s="116"/>
      <c r="N184" s="164"/>
      <c r="O184" s="164"/>
      <c r="P184" s="118"/>
    </row>
    <row r="185" spans="2:16" ht="18" customHeight="1" x14ac:dyDescent="0.2">
      <c r="B185" s="113"/>
      <c r="C185" s="164"/>
      <c r="D185" s="164"/>
      <c r="E185" s="164"/>
      <c r="F185" s="261" t="s">
        <v>38</v>
      </c>
      <c r="G185" s="261"/>
      <c r="H185" s="261"/>
      <c r="I185" s="261"/>
      <c r="J185" s="261"/>
      <c r="K185" s="261"/>
      <c r="L185" s="261"/>
      <c r="M185" s="116"/>
      <c r="N185" s="164"/>
      <c r="O185" s="164"/>
      <c r="P185" s="118"/>
    </row>
    <row r="186" spans="2:16" ht="18" customHeight="1" x14ac:dyDescent="0.2">
      <c r="B186" s="113"/>
      <c r="C186" s="167"/>
      <c r="D186" s="164"/>
      <c r="E186" s="164"/>
      <c r="F186" s="261"/>
      <c r="G186" s="261"/>
      <c r="H186" s="261"/>
      <c r="I186" s="261"/>
      <c r="J186" s="261"/>
      <c r="K186" s="261"/>
      <c r="L186" s="261"/>
      <c r="M186" s="164"/>
      <c r="N186" s="164"/>
      <c r="O186" s="164"/>
      <c r="P186" s="118"/>
    </row>
    <row r="187" spans="2:16" x14ac:dyDescent="0.2">
      <c r="B187" s="153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108"/>
    </row>
    <row r="188" spans="2:16" ht="18" x14ac:dyDescent="0.2">
      <c r="B188" s="104"/>
      <c r="C188" s="81" t="s">
        <v>1</v>
      </c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108"/>
    </row>
    <row r="189" spans="2:16" ht="18" x14ac:dyDescent="0.2">
      <c r="B189" s="104"/>
      <c r="C189" s="81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108"/>
    </row>
    <row r="190" spans="2:16" ht="18" x14ac:dyDescent="0.2">
      <c r="B190" s="168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108"/>
    </row>
    <row r="191" spans="2:16" ht="21" customHeight="1" x14ac:dyDescent="0.2">
      <c r="B191" s="156"/>
      <c r="C191" s="35" t="s">
        <v>2</v>
      </c>
      <c r="D191" s="24"/>
      <c r="E191" s="226" t="str">
        <f>+E44</f>
        <v>15MSU0945E</v>
      </c>
      <c r="F191" s="227"/>
      <c r="G191" s="227"/>
      <c r="H191" s="228"/>
      <c r="I191" s="24"/>
      <c r="J191" s="24"/>
      <c r="K191" s="24"/>
      <c r="L191" s="24"/>
      <c r="M191" s="24"/>
      <c r="N191" s="24"/>
      <c r="O191" s="24"/>
      <c r="P191" s="108"/>
    </row>
    <row r="192" spans="2:16" x14ac:dyDescent="0.2">
      <c r="B192" s="153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108"/>
    </row>
    <row r="193" spans="2:16" x14ac:dyDescent="0.2">
      <c r="B193" s="153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108"/>
    </row>
    <row r="194" spans="2:16" x14ac:dyDescent="0.2">
      <c r="B194" s="153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108"/>
    </row>
    <row r="195" spans="2:16" ht="20.25" customHeight="1" x14ac:dyDescent="0.2">
      <c r="B195" s="104"/>
      <c r="C195" s="35" t="s">
        <v>336</v>
      </c>
      <c r="D195" s="24"/>
      <c r="E195" s="41" t="str">
        <f>+E45</f>
        <v>UNIVERSIDAD MEXIQUENSE DEL BICENTENARIO</v>
      </c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108"/>
    </row>
    <row r="196" spans="2:16" x14ac:dyDescent="0.2">
      <c r="B196" s="169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108"/>
    </row>
    <row r="197" spans="2:16" x14ac:dyDescent="0.2">
      <c r="B197" s="153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108"/>
    </row>
    <row r="198" spans="2:16" x14ac:dyDescent="0.2">
      <c r="B198" s="153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108"/>
    </row>
    <row r="199" spans="2:16" x14ac:dyDescent="0.2">
      <c r="B199" s="153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108"/>
    </row>
    <row r="200" spans="2:16" x14ac:dyDescent="0.2">
      <c r="B200" s="153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108"/>
    </row>
    <row r="201" spans="2:16" x14ac:dyDescent="0.2">
      <c r="B201" s="10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108"/>
    </row>
    <row r="202" spans="2:16" x14ac:dyDescent="0.2">
      <c r="B202" s="153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108"/>
    </row>
    <row r="203" spans="2:16" x14ac:dyDescent="0.2">
      <c r="B203" s="158"/>
      <c r="C203" s="24"/>
      <c r="D203" s="24"/>
      <c r="E203" s="24"/>
      <c r="F203" s="24"/>
      <c r="G203" s="24"/>
      <c r="H203" s="24"/>
      <c r="I203" s="24"/>
      <c r="J203" s="24"/>
      <c r="K203" s="24"/>
      <c r="L203" s="52" t="s">
        <v>41</v>
      </c>
      <c r="M203" s="52" t="s">
        <v>42</v>
      </c>
      <c r="N203" s="52" t="s">
        <v>43</v>
      </c>
      <c r="O203" s="24"/>
      <c r="P203" s="108"/>
    </row>
    <row r="204" spans="2:16" x14ac:dyDescent="0.2">
      <c r="B204" s="170" t="s">
        <v>39</v>
      </c>
      <c r="C204" s="24"/>
      <c r="D204" s="24"/>
      <c r="E204" s="24"/>
      <c r="F204" s="24"/>
      <c r="G204" s="24"/>
      <c r="H204" s="24"/>
      <c r="I204" s="24"/>
      <c r="J204" s="36" t="s">
        <v>40</v>
      </c>
      <c r="K204" s="24"/>
      <c r="L204" s="53">
        <v>2013</v>
      </c>
      <c r="M204" s="53">
        <v>9</v>
      </c>
      <c r="N204" s="53">
        <v>30</v>
      </c>
      <c r="O204" s="24"/>
      <c r="P204" s="108"/>
    </row>
    <row r="205" spans="2:16" x14ac:dyDescent="0.2">
      <c r="B205" s="170"/>
      <c r="C205" s="24"/>
      <c r="D205" s="24"/>
      <c r="E205" s="24"/>
      <c r="F205" s="24"/>
      <c r="G205" s="24"/>
      <c r="H205" s="24"/>
      <c r="I205" s="24"/>
      <c r="J205" s="36"/>
      <c r="K205" s="24"/>
      <c r="L205" s="24"/>
      <c r="M205" s="24"/>
      <c r="N205" s="24"/>
      <c r="O205" s="24"/>
      <c r="P205" s="108"/>
    </row>
    <row r="206" spans="2:16" x14ac:dyDescent="0.2">
      <c r="B206" s="153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108"/>
    </row>
    <row r="207" spans="2:16" ht="15" thickBot="1" x14ac:dyDescent="0.25">
      <c r="B207" s="10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108"/>
    </row>
    <row r="208" spans="2:16" ht="15.75" customHeight="1" x14ac:dyDescent="0.2">
      <c r="B208" s="158"/>
      <c r="C208" s="213" t="s">
        <v>331</v>
      </c>
      <c r="D208" s="214"/>
      <c r="E208" s="214"/>
      <c r="F208" s="214"/>
      <c r="G208" s="214"/>
      <c r="H208" s="214"/>
      <c r="I208" s="214"/>
      <c r="J208" s="214"/>
      <c r="K208" s="214"/>
      <c r="L208" s="214"/>
      <c r="M208" s="214"/>
      <c r="N208" s="214"/>
      <c r="O208" s="215"/>
      <c r="P208" s="108"/>
    </row>
    <row r="209" spans="2:16" x14ac:dyDescent="0.2">
      <c r="B209" s="104"/>
      <c r="C209" s="216"/>
      <c r="D209" s="217"/>
      <c r="E209" s="217"/>
      <c r="F209" s="217"/>
      <c r="G209" s="217"/>
      <c r="H209" s="217"/>
      <c r="I209" s="217"/>
      <c r="J209" s="217"/>
      <c r="K209" s="217"/>
      <c r="L209" s="217"/>
      <c r="M209" s="217"/>
      <c r="N209" s="217"/>
      <c r="O209" s="218"/>
      <c r="P209" s="108"/>
    </row>
    <row r="210" spans="2:16" x14ac:dyDescent="0.2">
      <c r="B210" s="153"/>
      <c r="C210" s="219" t="s">
        <v>151</v>
      </c>
      <c r="D210" s="220"/>
      <c r="E210" s="220"/>
      <c r="F210" s="220"/>
      <c r="G210" s="220"/>
      <c r="H210" s="220"/>
      <c r="I210" s="220"/>
      <c r="J210" s="220"/>
      <c r="K210" s="220"/>
      <c r="L210" s="220"/>
      <c r="M210" s="220"/>
      <c r="N210" s="220"/>
      <c r="O210" s="221"/>
      <c r="P210" s="108"/>
    </row>
    <row r="211" spans="2:16" ht="15" thickBot="1" x14ac:dyDescent="0.25">
      <c r="B211" s="153"/>
      <c r="C211" s="222"/>
      <c r="D211" s="223"/>
      <c r="E211" s="223"/>
      <c r="F211" s="223"/>
      <c r="G211" s="223"/>
      <c r="H211" s="223"/>
      <c r="I211" s="223"/>
      <c r="J211" s="223"/>
      <c r="K211" s="223"/>
      <c r="L211" s="223"/>
      <c r="M211" s="223"/>
      <c r="N211" s="223"/>
      <c r="O211" s="224"/>
      <c r="P211" s="108"/>
    </row>
    <row r="212" spans="2:16" ht="17.25" thickBot="1" x14ac:dyDescent="0.25">
      <c r="B212" s="171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8"/>
    </row>
    <row r="213" spans="2:16" ht="16.5" x14ac:dyDescent="0.2">
      <c r="B213" s="80"/>
    </row>
    <row r="214" spans="2:16" ht="15" thickBot="1" x14ac:dyDescent="0.25"/>
    <row r="215" spans="2:16" ht="11.25" customHeight="1" x14ac:dyDescent="0.2">
      <c r="B215" s="112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5"/>
      <c r="P215" s="119"/>
    </row>
    <row r="216" spans="2:16" ht="27.75" customHeight="1" x14ac:dyDescent="0.2">
      <c r="B216" s="113"/>
      <c r="C216" s="81" t="s">
        <v>456</v>
      </c>
      <c r="D216" s="81"/>
      <c r="E216" s="81"/>
      <c r="F216" s="81"/>
      <c r="G216" s="81"/>
      <c r="H216" s="81"/>
      <c r="I216" s="24"/>
      <c r="J216" s="24"/>
      <c r="K216" s="81" t="s">
        <v>357</v>
      </c>
      <c r="L216" s="81"/>
      <c r="M216" s="81"/>
      <c r="N216" s="81"/>
      <c r="O216" s="111" t="s">
        <v>369</v>
      </c>
      <c r="P216" s="120"/>
    </row>
    <row r="217" spans="2:16" ht="12" customHeight="1" x14ac:dyDescent="0.2">
      <c r="B217" s="113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7"/>
      <c r="P217" s="118"/>
    </row>
    <row r="218" spans="2:16" ht="15.75" x14ac:dyDescent="0.2">
      <c r="B218" s="104"/>
      <c r="C218" s="67" t="s">
        <v>44</v>
      </c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60"/>
      <c r="P218" s="108"/>
    </row>
    <row r="219" spans="2:16" x14ac:dyDescent="0.2">
      <c r="B219" s="10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108"/>
    </row>
    <row r="220" spans="2:16" x14ac:dyDescent="0.2">
      <c r="B220" s="104"/>
      <c r="C220" s="199" t="s">
        <v>337</v>
      </c>
      <c r="D220" s="199"/>
      <c r="E220" s="199"/>
      <c r="F220" s="199"/>
      <c r="G220" s="24"/>
      <c r="H220" s="24"/>
      <c r="I220" s="24"/>
      <c r="J220" s="24"/>
      <c r="K220" s="24"/>
      <c r="L220" s="24"/>
      <c r="M220" s="24"/>
      <c r="N220" s="24"/>
      <c r="O220" s="24"/>
      <c r="P220" s="108"/>
    </row>
    <row r="221" spans="2:16" ht="16.5" x14ac:dyDescent="0.2">
      <c r="B221" s="159"/>
      <c r="C221" s="199"/>
      <c r="D221" s="199"/>
      <c r="E221" s="199"/>
      <c r="F221" s="199"/>
      <c r="G221" s="24"/>
      <c r="H221" s="229" t="s">
        <v>45</v>
      </c>
      <c r="I221" s="229"/>
      <c r="J221" s="229"/>
      <c r="K221" s="24"/>
      <c r="L221" s="230">
        <v>1</v>
      </c>
      <c r="M221" s="231"/>
      <c r="N221" s="24"/>
      <c r="O221" s="24"/>
      <c r="P221" s="108"/>
    </row>
    <row r="222" spans="2:16" x14ac:dyDescent="0.2">
      <c r="B222" s="104"/>
      <c r="C222" s="199"/>
      <c r="D222" s="199"/>
      <c r="E222" s="199"/>
      <c r="F222" s="199"/>
      <c r="G222" s="24"/>
      <c r="H222" s="229"/>
      <c r="I222" s="229"/>
      <c r="J222" s="229"/>
      <c r="K222" s="24"/>
      <c r="L222" s="24"/>
      <c r="M222" s="24"/>
      <c r="N222" s="24"/>
      <c r="O222" s="24"/>
      <c r="P222" s="108"/>
    </row>
    <row r="223" spans="2:16" x14ac:dyDescent="0.2">
      <c r="B223" s="172"/>
      <c r="C223" s="125"/>
      <c r="D223" s="125"/>
      <c r="E223" s="125"/>
      <c r="F223" s="125"/>
      <c r="G223" s="24"/>
      <c r="H223" s="229"/>
      <c r="I223" s="229"/>
      <c r="J223" s="229"/>
      <c r="K223" s="24"/>
      <c r="L223" s="24"/>
      <c r="M223" s="24"/>
      <c r="N223" s="24"/>
      <c r="O223" s="24"/>
      <c r="P223" s="108"/>
    </row>
    <row r="224" spans="2:16" x14ac:dyDescent="0.2">
      <c r="B224" s="104"/>
      <c r="C224" s="125"/>
      <c r="D224" s="125"/>
      <c r="E224" s="125"/>
      <c r="F224" s="125"/>
      <c r="G224" s="24"/>
      <c r="H224" s="24"/>
      <c r="I224" s="24"/>
      <c r="J224" s="24"/>
      <c r="K224" s="24"/>
      <c r="L224" s="24"/>
      <c r="M224" s="24"/>
      <c r="N224" s="24"/>
      <c r="O224" s="24"/>
      <c r="P224" s="108"/>
    </row>
    <row r="225" spans="2:16" ht="15.75" x14ac:dyDescent="0.2">
      <c r="B225" s="104"/>
      <c r="C225" s="232" t="s">
        <v>46</v>
      </c>
      <c r="D225" s="232"/>
      <c r="E225" s="232"/>
      <c r="F225" s="232"/>
      <c r="G225" s="67"/>
      <c r="H225" s="67"/>
      <c r="I225" s="24"/>
      <c r="J225" s="245" t="s">
        <v>48</v>
      </c>
      <c r="K225" s="245"/>
      <c r="L225" s="245"/>
      <c r="M225" s="245"/>
      <c r="N225" s="245"/>
      <c r="O225" s="245"/>
      <c r="P225" s="108"/>
    </row>
    <row r="226" spans="2:16" ht="15.75" x14ac:dyDescent="0.2">
      <c r="B226" s="104"/>
      <c r="C226" s="232"/>
      <c r="D226" s="232"/>
      <c r="E226" s="232"/>
      <c r="F226" s="232"/>
      <c r="G226" s="82"/>
      <c r="H226" s="82"/>
      <c r="I226" s="24"/>
      <c r="J226" s="24"/>
      <c r="K226" s="24"/>
      <c r="L226" s="37"/>
      <c r="M226" s="24"/>
      <c r="N226" s="24"/>
      <c r="O226" s="24"/>
      <c r="P226" s="108"/>
    </row>
    <row r="227" spans="2:16" x14ac:dyDescent="0.2">
      <c r="B227" s="104"/>
      <c r="C227" s="125"/>
      <c r="D227" s="125"/>
      <c r="E227" s="125"/>
      <c r="F227" s="125"/>
      <c r="G227" s="24"/>
      <c r="H227" s="24"/>
      <c r="I227" s="24"/>
      <c r="J227" s="234" t="s">
        <v>127</v>
      </c>
      <c r="K227" s="234"/>
      <c r="L227" s="246" t="s">
        <v>49</v>
      </c>
      <c r="M227" s="246"/>
      <c r="N227" s="210" t="s">
        <v>50</v>
      </c>
      <c r="O227" s="210"/>
      <c r="P227" s="108"/>
    </row>
    <row r="228" spans="2:16" ht="19.5" customHeight="1" x14ac:dyDescent="0.2">
      <c r="B228" s="104"/>
      <c r="C228" s="199" t="s">
        <v>371</v>
      </c>
      <c r="D228" s="199"/>
      <c r="E228" s="199"/>
      <c r="F228" s="199"/>
      <c r="G228" s="24"/>
      <c r="H228" s="37" t="s">
        <v>47</v>
      </c>
      <c r="I228" s="24"/>
      <c r="J228" s="234"/>
      <c r="K228" s="234"/>
      <c r="L228" s="246"/>
      <c r="M228" s="246"/>
      <c r="N228" s="210"/>
      <c r="O228" s="210"/>
      <c r="P228" s="108"/>
    </row>
    <row r="229" spans="2:16" x14ac:dyDescent="0.2">
      <c r="B229" s="104"/>
      <c r="C229" s="199"/>
      <c r="D229" s="199"/>
      <c r="E229" s="199"/>
      <c r="F229" s="199"/>
      <c r="G229" s="24"/>
      <c r="H229" s="36" t="s">
        <v>128</v>
      </c>
      <c r="I229" s="24"/>
      <c r="J229" s="230"/>
      <c r="K229" s="231"/>
      <c r="L229" s="230"/>
      <c r="M229" s="231"/>
      <c r="N229" s="230"/>
      <c r="O229" s="231"/>
      <c r="P229" s="108"/>
    </row>
    <row r="230" spans="2:16" x14ac:dyDescent="0.2">
      <c r="B230" s="154"/>
      <c r="C230" s="199"/>
      <c r="D230" s="199"/>
      <c r="E230" s="199"/>
      <c r="F230" s="199"/>
      <c r="G230" s="24"/>
      <c r="H230" s="36" t="s">
        <v>129</v>
      </c>
      <c r="I230" s="24"/>
      <c r="J230" s="230">
        <v>1</v>
      </c>
      <c r="K230" s="231"/>
      <c r="L230" s="230">
        <v>9</v>
      </c>
      <c r="M230" s="231"/>
      <c r="N230" s="230"/>
      <c r="O230" s="231"/>
      <c r="P230" s="108"/>
    </row>
    <row r="231" spans="2:16" x14ac:dyDescent="0.2">
      <c r="B231" s="153"/>
      <c r="C231" s="199"/>
      <c r="D231" s="199"/>
      <c r="E231" s="199"/>
      <c r="F231" s="199"/>
      <c r="G231" s="24"/>
      <c r="H231" s="36" t="s">
        <v>130</v>
      </c>
      <c r="I231" s="24"/>
      <c r="J231" s="230"/>
      <c r="K231" s="231"/>
      <c r="L231" s="230"/>
      <c r="M231" s="231"/>
      <c r="N231" s="230"/>
      <c r="O231" s="231"/>
      <c r="P231" s="108"/>
    </row>
    <row r="232" spans="2:16" x14ac:dyDescent="0.2">
      <c r="B232" s="153"/>
      <c r="C232" s="199"/>
      <c r="D232" s="199"/>
      <c r="E232" s="199"/>
      <c r="F232" s="199"/>
      <c r="G232" s="24"/>
      <c r="H232" s="24"/>
      <c r="I232" s="24"/>
      <c r="J232" s="24"/>
      <c r="K232" s="24"/>
      <c r="L232" s="24"/>
      <c r="M232" s="24"/>
      <c r="N232" s="24"/>
      <c r="O232" s="24"/>
      <c r="P232" s="108"/>
    </row>
    <row r="233" spans="2:16" x14ac:dyDescent="0.2">
      <c r="B233" s="153"/>
      <c r="C233" s="125"/>
      <c r="D233" s="125"/>
      <c r="E233" s="125"/>
      <c r="F233" s="125"/>
      <c r="G233" s="24"/>
      <c r="H233" s="37" t="s">
        <v>9</v>
      </c>
      <c r="I233" s="24"/>
      <c r="J233" s="230"/>
      <c r="K233" s="231"/>
      <c r="L233" s="230"/>
      <c r="M233" s="231"/>
      <c r="N233" s="230"/>
      <c r="O233" s="231"/>
      <c r="P233" s="108"/>
    </row>
    <row r="234" spans="2:16" x14ac:dyDescent="0.2">
      <c r="B234" s="153"/>
      <c r="C234" s="125"/>
      <c r="D234" s="125"/>
      <c r="E234" s="125"/>
      <c r="F234" s="125"/>
      <c r="G234" s="24"/>
      <c r="H234" s="24"/>
      <c r="I234" s="24"/>
      <c r="J234" s="24"/>
      <c r="K234" s="24"/>
      <c r="L234" s="24"/>
      <c r="M234" s="24"/>
      <c r="N234" s="24"/>
      <c r="O234" s="24"/>
      <c r="P234" s="108"/>
    </row>
    <row r="235" spans="2:16" x14ac:dyDescent="0.2">
      <c r="B235" s="104"/>
      <c r="C235" s="125"/>
      <c r="D235" s="125"/>
      <c r="E235" s="125"/>
      <c r="F235" s="125"/>
      <c r="G235" s="24"/>
      <c r="H235" s="24"/>
      <c r="I235" s="24"/>
      <c r="J235" s="24"/>
      <c r="K235" s="24"/>
      <c r="L235" s="24"/>
      <c r="M235" s="24"/>
      <c r="N235" s="24"/>
      <c r="O235" s="24"/>
      <c r="P235" s="108"/>
    </row>
    <row r="236" spans="2:16" x14ac:dyDescent="0.2">
      <c r="B236" s="104"/>
      <c r="C236" s="125"/>
      <c r="D236" s="125"/>
      <c r="E236" s="125"/>
      <c r="F236" s="125"/>
      <c r="G236" s="24"/>
      <c r="H236" s="24"/>
      <c r="I236" s="24"/>
      <c r="J236" s="24"/>
      <c r="K236" s="24"/>
      <c r="L236" s="24"/>
      <c r="M236" s="24"/>
      <c r="N236" s="24"/>
      <c r="O236" s="24"/>
      <c r="P236" s="108"/>
    </row>
    <row r="237" spans="2:16" x14ac:dyDescent="0.2">
      <c r="B237" s="173"/>
      <c r="C237" s="206" t="s">
        <v>370</v>
      </c>
      <c r="D237" s="206"/>
      <c r="E237" s="206"/>
      <c r="F237" s="206"/>
      <c r="G237" s="24"/>
      <c r="H237" s="37" t="s">
        <v>51</v>
      </c>
      <c r="I237" s="24"/>
      <c r="J237" s="24"/>
      <c r="K237" s="24"/>
      <c r="L237" s="233" t="s">
        <v>127</v>
      </c>
      <c r="M237" s="233"/>
      <c r="N237" s="209" t="s">
        <v>49</v>
      </c>
      <c r="O237" s="209"/>
      <c r="P237" s="108"/>
    </row>
    <row r="238" spans="2:16" x14ac:dyDescent="0.2">
      <c r="B238" s="104"/>
      <c r="C238" s="206"/>
      <c r="D238" s="206"/>
      <c r="E238" s="206"/>
      <c r="F238" s="206"/>
      <c r="G238" s="24"/>
      <c r="H238" s="24"/>
      <c r="I238" s="24"/>
      <c r="J238" s="24"/>
      <c r="K238" s="24"/>
      <c r="L238" s="233"/>
      <c r="M238" s="233"/>
      <c r="N238" s="209"/>
      <c r="O238" s="209"/>
      <c r="P238" s="108"/>
    </row>
    <row r="239" spans="2:16" x14ac:dyDescent="0.2">
      <c r="B239" s="174"/>
      <c r="C239" s="206"/>
      <c r="D239" s="206"/>
      <c r="E239" s="206"/>
      <c r="F239" s="206"/>
      <c r="G239" s="24"/>
      <c r="H239" s="36" t="s">
        <v>52</v>
      </c>
      <c r="I239" s="24"/>
      <c r="J239" s="24"/>
      <c r="K239" s="24"/>
      <c r="L239" s="230"/>
      <c r="M239" s="231"/>
      <c r="N239" s="230"/>
      <c r="O239" s="231"/>
      <c r="P239" s="108"/>
    </row>
    <row r="240" spans="2:16" x14ac:dyDescent="0.2">
      <c r="B240" s="104"/>
      <c r="C240" s="206"/>
      <c r="D240" s="206"/>
      <c r="E240" s="206"/>
      <c r="F240" s="206"/>
      <c r="G240" s="24"/>
      <c r="H240" s="36" t="s">
        <v>53</v>
      </c>
      <c r="I240" s="24"/>
      <c r="J240" s="24"/>
      <c r="K240" s="24"/>
      <c r="L240" s="230"/>
      <c r="M240" s="231"/>
      <c r="N240" s="230"/>
      <c r="O240" s="231"/>
      <c r="P240" s="108"/>
    </row>
    <row r="241" spans="2:16" x14ac:dyDescent="0.2">
      <c r="B241" s="104"/>
      <c r="C241" s="206"/>
      <c r="D241" s="206"/>
      <c r="E241" s="206"/>
      <c r="F241" s="206"/>
      <c r="G241" s="24"/>
      <c r="H241" s="36" t="s">
        <v>131</v>
      </c>
      <c r="I241" s="24"/>
      <c r="J241" s="24"/>
      <c r="K241" s="24"/>
      <c r="L241" s="230"/>
      <c r="M241" s="231"/>
      <c r="N241" s="230"/>
      <c r="O241" s="231"/>
      <c r="P241" s="108"/>
    </row>
    <row r="242" spans="2:16" x14ac:dyDescent="0.2">
      <c r="B242" s="153"/>
      <c r="C242" s="24"/>
      <c r="D242" s="24"/>
      <c r="E242" s="24"/>
      <c r="F242" s="24"/>
      <c r="G242" s="24"/>
      <c r="H242" s="36" t="s">
        <v>132</v>
      </c>
      <c r="I242" s="24"/>
      <c r="J242" s="24"/>
      <c r="K242" s="24"/>
      <c r="L242" s="230">
        <v>1</v>
      </c>
      <c r="M242" s="231"/>
      <c r="N242" s="230">
        <v>2</v>
      </c>
      <c r="O242" s="231"/>
      <c r="P242" s="108"/>
    </row>
    <row r="243" spans="2:16" x14ac:dyDescent="0.2">
      <c r="B243" s="153"/>
      <c r="C243" s="24"/>
      <c r="D243" s="24"/>
      <c r="E243" s="24"/>
      <c r="F243" s="24"/>
      <c r="G243" s="24"/>
      <c r="H243" s="36" t="s">
        <v>133</v>
      </c>
      <c r="I243" s="24"/>
      <c r="J243" s="24"/>
      <c r="K243" s="24"/>
      <c r="L243" s="230"/>
      <c r="M243" s="231"/>
      <c r="N243" s="230">
        <v>5</v>
      </c>
      <c r="O243" s="231"/>
      <c r="P243" s="108"/>
    </row>
    <row r="244" spans="2:16" ht="15" x14ac:dyDescent="0.2">
      <c r="B244" s="155"/>
      <c r="C244" s="24"/>
      <c r="D244" s="24"/>
      <c r="E244" s="24"/>
      <c r="F244" s="24"/>
      <c r="G244" s="24"/>
      <c r="H244" s="36" t="s">
        <v>134</v>
      </c>
      <c r="I244" s="24"/>
      <c r="J244" s="24"/>
      <c r="K244" s="24"/>
      <c r="L244" s="230"/>
      <c r="M244" s="231"/>
      <c r="N244" s="230">
        <v>2</v>
      </c>
      <c r="O244" s="231"/>
      <c r="P244" s="108"/>
    </row>
    <row r="245" spans="2:16" x14ac:dyDescent="0.2">
      <c r="B245" s="104"/>
      <c r="C245" s="24"/>
      <c r="D245" s="24"/>
      <c r="E245" s="24"/>
      <c r="F245" s="24"/>
      <c r="G245" s="24"/>
      <c r="H245" s="36" t="s">
        <v>54</v>
      </c>
      <c r="I245" s="24"/>
      <c r="J245" s="24"/>
      <c r="K245" s="24"/>
      <c r="L245" s="230"/>
      <c r="M245" s="231"/>
      <c r="N245" s="230"/>
      <c r="O245" s="231"/>
      <c r="P245" s="108"/>
    </row>
    <row r="246" spans="2:16" x14ac:dyDescent="0.2">
      <c r="B246" s="152"/>
      <c r="C246" s="24"/>
      <c r="D246" s="24"/>
      <c r="E246" s="24"/>
      <c r="F246" s="24"/>
      <c r="G246" s="24"/>
      <c r="H246" s="36" t="s">
        <v>55</v>
      </c>
      <c r="I246" s="24"/>
      <c r="J246" s="24"/>
      <c r="K246" s="24"/>
      <c r="L246" s="230"/>
      <c r="M246" s="231"/>
      <c r="N246" s="230"/>
      <c r="O246" s="231"/>
      <c r="P246" s="108"/>
    </row>
    <row r="247" spans="2:16" x14ac:dyDescent="0.2">
      <c r="B247" s="10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108"/>
    </row>
    <row r="248" spans="2:16" x14ac:dyDescent="0.2">
      <c r="B248" s="158"/>
      <c r="C248" s="24"/>
      <c r="D248" s="24"/>
      <c r="E248" s="24"/>
      <c r="F248" s="24"/>
      <c r="G248" s="24"/>
      <c r="H248" s="78" t="s">
        <v>9</v>
      </c>
      <c r="I248" s="24"/>
      <c r="J248" s="24"/>
      <c r="K248" s="24"/>
      <c r="L248" s="230">
        <v>1</v>
      </c>
      <c r="M248" s="231"/>
      <c r="N248" s="230">
        <v>9</v>
      </c>
      <c r="O248" s="231"/>
      <c r="P248" s="108"/>
    </row>
    <row r="249" spans="2:16" x14ac:dyDescent="0.2">
      <c r="B249" s="10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108"/>
    </row>
    <row r="250" spans="2:16" x14ac:dyDescent="0.2">
      <c r="B250" s="10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122" t="s">
        <v>360</v>
      </c>
      <c r="P250" s="108"/>
    </row>
    <row r="251" spans="2:16" ht="15" thickBot="1" x14ac:dyDescent="0.25">
      <c r="B251" s="145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23" t="s">
        <v>361</v>
      </c>
      <c r="P251" s="148"/>
    </row>
    <row r="253" spans="2:16" ht="15" thickBot="1" x14ac:dyDescent="0.25">
      <c r="B253" s="18"/>
    </row>
    <row r="254" spans="2:16" ht="9" customHeight="1" x14ac:dyDescent="0.2">
      <c r="B254" s="112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5"/>
      <c r="P254" s="119"/>
    </row>
    <row r="255" spans="2:16" ht="30.75" customHeight="1" x14ac:dyDescent="0.2">
      <c r="B255" s="113"/>
      <c r="C255" s="81" t="s">
        <v>456</v>
      </c>
      <c r="D255" s="81"/>
      <c r="E255" s="81"/>
      <c r="F255" s="81"/>
      <c r="G255" s="81"/>
      <c r="H255" s="81"/>
      <c r="I255" s="24"/>
      <c r="J255" s="24"/>
      <c r="K255" s="81" t="s">
        <v>357</v>
      </c>
      <c r="L255" s="81"/>
      <c r="M255" s="81"/>
      <c r="N255" s="81"/>
      <c r="O255" s="111" t="s">
        <v>369</v>
      </c>
      <c r="P255" s="120"/>
    </row>
    <row r="256" spans="2:16" ht="9.75" customHeight="1" x14ac:dyDescent="0.2">
      <c r="B256" s="113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7"/>
      <c r="P256" s="118"/>
    </row>
    <row r="257" spans="2:16" ht="15.75" customHeight="1" x14ac:dyDescent="0.2">
      <c r="B257" s="104"/>
      <c r="C257" s="247" t="s">
        <v>338</v>
      </c>
      <c r="D257" s="247"/>
      <c r="E257" s="247"/>
      <c r="F257" s="247"/>
      <c r="G257" s="24"/>
      <c r="H257" s="24"/>
      <c r="I257" s="24"/>
      <c r="J257" s="24"/>
      <c r="K257" s="24"/>
      <c r="L257" s="24"/>
      <c r="M257" s="24"/>
      <c r="N257" s="24"/>
      <c r="O257" s="60"/>
      <c r="P257" s="108"/>
    </row>
    <row r="258" spans="2:16" x14ac:dyDescent="0.2">
      <c r="B258" s="153"/>
      <c r="C258" s="247"/>
      <c r="D258" s="247"/>
      <c r="E258" s="247"/>
      <c r="F258" s="247"/>
      <c r="G258" s="24"/>
      <c r="H258" s="24"/>
      <c r="I258" s="24"/>
      <c r="J258" s="24"/>
      <c r="K258" s="24"/>
      <c r="L258" s="24"/>
      <c r="M258" s="24"/>
      <c r="N258" s="24"/>
      <c r="O258" s="24"/>
      <c r="P258" s="108"/>
    </row>
    <row r="259" spans="2:16" ht="15" customHeight="1" x14ac:dyDescent="0.2">
      <c r="B259" s="104"/>
      <c r="C259" s="199" t="s">
        <v>339</v>
      </c>
      <c r="D259" s="199"/>
      <c r="E259" s="199"/>
      <c r="F259" s="199"/>
      <c r="G259" s="24"/>
      <c r="H259" s="24"/>
      <c r="I259" s="24"/>
      <c r="J259" s="24"/>
      <c r="K259" s="24"/>
      <c r="L259" s="127"/>
      <c r="M259" s="127"/>
      <c r="N259" s="127"/>
      <c r="O259" s="249" t="s">
        <v>120</v>
      </c>
      <c r="P259" s="108"/>
    </row>
    <row r="260" spans="2:16" x14ac:dyDescent="0.2">
      <c r="B260" s="104"/>
      <c r="C260" s="199"/>
      <c r="D260" s="199"/>
      <c r="E260" s="199"/>
      <c r="F260" s="199"/>
      <c r="G260" s="24"/>
      <c r="H260" s="24"/>
      <c r="I260" s="24"/>
      <c r="J260" s="24"/>
      <c r="K260" s="24"/>
      <c r="L260" s="121" t="s">
        <v>18</v>
      </c>
      <c r="M260" s="121" t="s">
        <v>19</v>
      </c>
      <c r="N260" s="121" t="s">
        <v>9</v>
      </c>
      <c r="O260" s="249"/>
      <c r="P260" s="108"/>
    </row>
    <row r="261" spans="2:16" x14ac:dyDescent="0.2">
      <c r="B261" s="153"/>
      <c r="C261" s="199"/>
      <c r="D261" s="199"/>
      <c r="E261" s="199"/>
      <c r="F261" s="199"/>
      <c r="G261" s="24"/>
      <c r="H261" s="36" t="s">
        <v>23</v>
      </c>
      <c r="I261" s="24"/>
      <c r="J261" s="24"/>
      <c r="K261" s="24"/>
      <c r="L261" s="53">
        <v>1</v>
      </c>
      <c r="M261" s="53"/>
      <c r="N261" s="53">
        <v>1</v>
      </c>
      <c r="O261" s="53"/>
      <c r="P261" s="108"/>
    </row>
    <row r="262" spans="2:16" x14ac:dyDescent="0.2">
      <c r="B262" s="153"/>
      <c r="C262" s="199"/>
      <c r="D262" s="199"/>
      <c r="E262" s="199"/>
      <c r="F262" s="199"/>
      <c r="G262" s="24"/>
      <c r="H262" s="36" t="s">
        <v>56</v>
      </c>
      <c r="I262" s="24"/>
      <c r="J262" s="24"/>
      <c r="K262" s="24"/>
      <c r="L262" s="53"/>
      <c r="M262" s="53"/>
      <c r="N262" s="53"/>
      <c r="O262" s="53"/>
      <c r="P262" s="108"/>
    </row>
    <row r="263" spans="2:16" x14ac:dyDescent="0.2">
      <c r="B263" s="153"/>
      <c r="C263" s="199"/>
      <c r="D263" s="199"/>
      <c r="E263" s="199"/>
      <c r="F263" s="199"/>
      <c r="G263" s="24"/>
      <c r="H263" s="36" t="s">
        <v>57</v>
      </c>
      <c r="I263" s="24"/>
      <c r="J263" s="24"/>
      <c r="K263" s="24"/>
      <c r="L263" s="53"/>
      <c r="M263" s="53"/>
      <c r="N263" s="53"/>
      <c r="O263" s="53"/>
      <c r="P263" s="108"/>
    </row>
    <row r="264" spans="2:16" x14ac:dyDescent="0.2">
      <c r="B264" s="153"/>
      <c r="C264" s="199"/>
      <c r="D264" s="199"/>
      <c r="E264" s="199"/>
      <c r="F264" s="199"/>
      <c r="G264" s="24"/>
      <c r="H264" s="36" t="s">
        <v>24</v>
      </c>
      <c r="I264" s="24"/>
      <c r="J264" s="24"/>
      <c r="K264" s="24"/>
      <c r="L264" s="53"/>
      <c r="M264" s="53"/>
      <c r="N264" s="53"/>
      <c r="O264" s="53"/>
      <c r="P264" s="108"/>
    </row>
    <row r="265" spans="2:16" x14ac:dyDescent="0.2">
      <c r="B265" s="104"/>
      <c r="C265" s="83" t="s">
        <v>15</v>
      </c>
      <c r="D265" s="128"/>
      <c r="E265" s="128"/>
      <c r="F265" s="128"/>
      <c r="G265" s="24"/>
      <c r="H265" s="36" t="s">
        <v>25</v>
      </c>
      <c r="I265" s="24"/>
      <c r="J265" s="24"/>
      <c r="K265" s="24"/>
      <c r="L265" s="53"/>
      <c r="M265" s="53"/>
      <c r="N265" s="53"/>
      <c r="O265" s="53"/>
      <c r="P265" s="108"/>
    </row>
    <row r="266" spans="2:16" x14ac:dyDescent="0.2">
      <c r="B266" s="104"/>
      <c r="C266" s="206" t="s">
        <v>16</v>
      </c>
      <c r="D266" s="206"/>
      <c r="E266" s="206"/>
      <c r="F266" s="206"/>
      <c r="G266" s="24"/>
      <c r="H266" s="36" t="s">
        <v>26</v>
      </c>
      <c r="I266" s="24"/>
      <c r="J266" s="24"/>
      <c r="K266" s="24"/>
      <c r="L266" s="53"/>
      <c r="M266" s="53"/>
      <c r="N266" s="53"/>
      <c r="O266" s="53"/>
      <c r="P266" s="108"/>
    </row>
    <row r="267" spans="2:16" x14ac:dyDescent="0.2">
      <c r="B267" s="153"/>
      <c r="C267" s="206"/>
      <c r="D267" s="206"/>
      <c r="E267" s="206"/>
      <c r="F267" s="206"/>
      <c r="G267" s="24"/>
      <c r="H267" s="84"/>
      <c r="I267" s="24"/>
      <c r="J267" s="24"/>
      <c r="K267" s="24"/>
      <c r="L267" s="198"/>
      <c r="M267" s="198"/>
      <c r="N267" s="198"/>
      <c r="O267" s="198"/>
      <c r="P267" s="108"/>
    </row>
    <row r="268" spans="2:16" x14ac:dyDescent="0.2">
      <c r="B268" s="153"/>
      <c r="C268" s="125"/>
      <c r="D268" s="125"/>
      <c r="E268" s="125"/>
      <c r="F268" s="125"/>
      <c r="G268" s="24"/>
      <c r="H268" s="250" t="s">
        <v>58</v>
      </c>
      <c r="I268" s="250"/>
      <c r="J268" s="250"/>
      <c r="K268" s="250"/>
      <c r="L268" s="53">
        <v>1</v>
      </c>
      <c r="M268" s="53"/>
      <c r="N268" s="53">
        <v>1</v>
      </c>
      <c r="O268" s="53"/>
      <c r="P268" s="108"/>
    </row>
    <row r="269" spans="2:16" x14ac:dyDescent="0.2">
      <c r="B269" s="153"/>
      <c r="C269" s="125"/>
      <c r="D269" s="125"/>
      <c r="E269" s="125"/>
      <c r="F269" s="125"/>
      <c r="G269" s="24"/>
      <c r="H269" s="250"/>
      <c r="I269" s="250"/>
      <c r="J269" s="250"/>
      <c r="K269" s="250"/>
      <c r="L269" s="24"/>
      <c r="M269" s="24"/>
      <c r="N269" s="24"/>
      <c r="O269" s="24"/>
      <c r="P269" s="108"/>
    </row>
    <row r="270" spans="2:16" ht="7.5" customHeight="1" x14ac:dyDescent="0.2">
      <c r="B270" s="153"/>
      <c r="D270" s="125"/>
      <c r="E270" s="125"/>
      <c r="F270" s="125"/>
      <c r="G270" s="24"/>
      <c r="H270" s="24"/>
      <c r="I270" s="24"/>
      <c r="J270" s="24"/>
      <c r="K270" s="24"/>
      <c r="L270" s="24"/>
      <c r="M270" s="24"/>
      <c r="N270" s="24"/>
      <c r="O270" s="24"/>
      <c r="P270" s="108"/>
    </row>
    <row r="271" spans="2:16" ht="15.75" x14ac:dyDescent="0.2">
      <c r="B271" s="158"/>
      <c r="C271" s="82" t="s">
        <v>59</v>
      </c>
      <c r="D271" s="125"/>
      <c r="E271" s="125"/>
      <c r="F271" s="125"/>
      <c r="G271" s="24"/>
      <c r="H271" s="24"/>
      <c r="I271" s="254" t="s">
        <v>60</v>
      </c>
      <c r="J271" s="254"/>
      <c r="K271" s="254"/>
      <c r="L271" s="254" t="s">
        <v>61</v>
      </c>
      <c r="M271" s="254"/>
      <c r="N271" s="254"/>
      <c r="O271" s="254"/>
      <c r="P271" s="108"/>
    </row>
    <row r="272" spans="2:16" ht="14.25" customHeight="1" x14ac:dyDescent="0.2">
      <c r="B272" s="104"/>
      <c r="C272" s="199" t="s">
        <v>340</v>
      </c>
      <c r="D272" s="199"/>
      <c r="E272" s="199"/>
      <c r="F272" s="199"/>
      <c r="G272" s="24"/>
      <c r="H272" s="256" t="s">
        <v>135</v>
      </c>
      <c r="I272" s="211" t="s">
        <v>57</v>
      </c>
      <c r="J272" s="255" t="s">
        <v>24</v>
      </c>
      <c r="K272" s="255" t="s">
        <v>136</v>
      </c>
      <c r="L272" s="211" t="s">
        <v>18</v>
      </c>
      <c r="M272" s="211" t="s">
        <v>19</v>
      </c>
      <c r="N272" s="211" t="s">
        <v>9</v>
      </c>
      <c r="O272" s="248" t="s">
        <v>120</v>
      </c>
      <c r="P272" s="108"/>
    </row>
    <row r="273" spans="2:16" ht="14.25" customHeight="1" x14ac:dyDescent="0.2">
      <c r="B273" s="104"/>
      <c r="C273" s="199"/>
      <c r="D273" s="199"/>
      <c r="E273" s="199"/>
      <c r="F273" s="199"/>
      <c r="G273" s="24"/>
      <c r="H273" s="256"/>
      <c r="I273" s="211"/>
      <c r="J273" s="255"/>
      <c r="K273" s="255"/>
      <c r="L273" s="211"/>
      <c r="M273" s="211"/>
      <c r="N273" s="211"/>
      <c r="O273" s="248"/>
      <c r="P273" s="108"/>
    </row>
    <row r="274" spans="2:16" ht="15" x14ac:dyDescent="0.2">
      <c r="B274" s="155"/>
      <c r="C274" s="199"/>
      <c r="D274" s="199"/>
      <c r="E274" s="199"/>
      <c r="F274" s="199"/>
      <c r="G274" s="24"/>
      <c r="H274" s="24"/>
      <c r="I274" s="24"/>
      <c r="J274" s="24"/>
      <c r="K274" s="24"/>
      <c r="L274" s="24"/>
      <c r="M274" s="24"/>
      <c r="N274" s="24"/>
      <c r="O274" s="24"/>
      <c r="P274" s="108"/>
    </row>
    <row r="275" spans="2:16" x14ac:dyDescent="0.2">
      <c r="B275" s="104"/>
      <c r="C275" s="199"/>
      <c r="D275" s="199"/>
      <c r="E275" s="199"/>
      <c r="F275" s="199"/>
      <c r="G275" s="126" t="s">
        <v>62</v>
      </c>
      <c r="H275" s="24"/>
      <c r="I275" s="61"/>
      <c r="J275" s="61"/>
      <c r="K275" s="61"/>
      <c r="L275" s="61"/>
      <c r="M275" s="61"/>
      <c r="N275" s="61"/>
      <c r="O275" s="61"/>
      <c r="P275" s="108"/>
    </row>
    <row r="276" spans="2:16" x14ac:dyDescent="0.2">
      <c r="B276" s="104"/>
      <c r="G276" s="126" t="s">
        <v>63</v>
      </c>
      <c r="H276" s="24"/>
      <c r="I276" s="61"/>
      <c r="J276" s="61"/>
      <c r="K276" s="61"/>
      <c r="L276" s="61"/>
      <c r="M276" s="61"/>
      <c r="N276" s="61"/>
      <c r="O276" s="61"/>
      <c r="P276" s="108"/>
    </row>
    <row r="277" spans="2:16" x14ac:dyDescent="0.2">
      <c r="B277" s="175"/>
      <c r="C277" s="24"/>
      <c r="D277" s="24"/>
      <c r="E277" s="24"/>
      <c r="F277" s="24"/>
      <c r="G277" s="126" t="s">
        <v>64</v>
      </c>
      <c r="H277" s="24"/>
      <c r="I277" s="61"/>
      <c r="J277" s="61"/>
      <c r="K277" s="61"/>
      <c r="L277" s="61"/>
      <c r="M277" s="61"/>
      <c r="N277" s="61"/>
      <c r="O277" s="61"/>
      <c r="P277" s="108"/>
    </row>
    <row r="278" spans="2:16" ht="6" customHeight="1" x14ac:dyDescent="0.2">
      <c r="B278" s="104"/>
      <c r="C278" s="24"/>
      <c r="D278" s="24"/>
      <c r="E278" s="24"/>
      <c r="F278" s="24"/>
      <c r="G278" s="24"/>
      <c r="H278" s="46"/>
      <c r="I278" s="24"/>
      <c r="J278" s="24"/>
      <c r="K278" s="24"/>
      <c r="L278" s="24"/>
      <c r="M278" s="24"/>
      <c r="N278" s="24"/>
      <c r="O278" s="24"/>
      <c r="P278" s="108"/>
    </row>
    <row r="279" spans="2:16" x14ac:dyDescent="0.2">
      <c r="B279" s="104"/>
      <c r="C279" s="24"/>
      <c r="D279" s="24"/>
      <c r="E279" s="24"/>
      <c r="F279" s="24"/>
      <c r="G279" s="37" t="s">
        <v>9</v>
      </c>
      <c r="H279" s="24"/>
      <c r="I279" s="61"/>
      <c r="J279" s="61"/>
      <c r="K279" s="61"/>
      <c r="L279" s="61"/>
      <c r="M279" s="61"/>
      <c r="N279" s="61"/>
      <c r="O279" s="61"/>
      <c r="P279" s="108"/>
    </row>
    <row r="280" spans="2:16" ht="15" customHeight="1" x14ac:dyDescent="0.2">
      <c r="B280" s="160"/>
      <c r="C280" s="24"/>
      <c r="D280" s="24"/>
      <c r="E280" s="24"/>
      <c r="F280" s="24"/>
      <c r="G280" s="129" t="s">
        <v>65</v>
      </c>
      <c r="H280" s="24"/>
      <c r="I280" s="24"/>
      <c r="J280" s="24"/>
      <c r="K280" s="24"/>
      <c r="L280" s="24"/>
      <c r="M280" s="24"/>
      <c r="N280" s="24"/>
      <c r="O280" s="24"/>
      <c r="P280" s="108"/>
    </row>
    <row r="281" spans="2:16" x14ac:dyDescent="0.2">
      <c r="B281" s="104"/>
      <c r="C281" s="24"/>
      <c r="D281" s="24"/>
      <c r="E281" s="24"/>
      <c r="F281" s="24"/>
      <c r="G281" s="126" t="s">
        <v>137</v>
      </c>
      <c r="H281" s="24"/>
      <c r="I281" s="61"/>
      <c r="J281" s="61"/>
      <c r="K281" s="61"/>
      <c r="L281" s="61"/>
      <c r="M281" s="61"/>
      <c r="N281" s="61"/>
      <c r="O281" s="61"/>
      <c r="P281" s="108"/>
    </row>
    <row r="282" spans="2:16" x14ac:dyDescent="0.2">
      <c r="B282" s="104"/>
      <c r="C282" s="24"/>
      <c r="D282" s="24"/>
      <c r="E282" s="24"/>
      <c r="F282" s="24"/>
      <c r="G282" s="126" t="s">
        <v>138</v>
      </c>
      <c r="H282" s="24"/>
      <c r="I282" s="61"/>
      <c r="J282" s="61"/>
      <c r="K282" s="61"/>
      <c r="L282" s="61"/>
      <c r="M282" s="61"/>
      <c r="N282" s="61"/>
      <c r="O282" s="61"/>
      <c r="P282" s="108"/>
    </row>
    <row r="283" spans="2:16" x14ac:dyDescent="0.2">
      <c r="B283" s="104"/>
      <c r="C283" s="24"/>
      <c r="D283" s="24"/>
      <c r="E283" s="24"/>
      <c r="F283" s="24"/>
      <c r="G283" s="126" t="s">
        <v>119</v>
      </c>
      <c r="H283" s="24"/>
      <c r="I283" s="61"/>
      <c r="J283" s="61"/>
      <c r="K283" s="61"/>
      <c r="L283" s="61"/>
      <c r="M283" s="61"/>
      <c r="N283" s="61"/>
      <c r="O283" s="61"/>
      <c r="P283" s="108"/>
    </row>
    <row r="284" spans="2:16" x14ac:dyDescent="0.2">
      <c r="B284" s="104"/>
      <c r="C284" s="24"/>
      <c r="D284" s="24"/>
      <c r="E284" s="24"/>
      <c r="F284" s="24"/>
      <c r="G284" s="126" t="s">
        <v>118</v>
      </c>
      <c r="H284" s="24"/>
      <c r="I284" s="61"/>
      <c r="J284" s="61"/>
      <c r="K284" s="61"/>
      <c r="L284" s="61"/>
      <c r="M284" s="61"/>
      <c r="N284" s="61"/>
      <c r="O284" s="61"/>
      <c r="P284" s="108"/>
    </row>
    <row r="285" spans="2:16" x14ac:dyDescent="0.2">
      <c r="B285" s="104"/>
      <c r="C285" s="24"/>
      <c r="D285" s="24"/>
      <c r="E285" s="24"/>
      <c r="F285" s="24"/>
      <c r="G285" s="126" t="s">
        <v>66</v>
      </c>
      <c r="H285" s="24"/>
      <c r="I285" s="61"/>
      <c r="J285" s="61"/>
      <c r="K285" s="61"/>
      <c r="L285" s="61"/>
      <c r="M285" s="61"/>
      <c r="N285" s="61"/>
      <c r="O285" s="61"/>
      <c r="P285" s="108"/>
    </row>
    <row r="286" spans="2:16" x14ac:dyDescent="0.2">
      <c r="B286" s="104"/>
      <c r="C286" s="24"/>
      <c r="D286" s="24"/>
      <c r="E286" s="24"/>
      <c r="F286" s="24"/>
      <c r="G286" s="126" t="s">
        <v>26</v>
      </c>
      <c r="H286" s="24"/>
      <c r="I286" s="61"/>
      <c r="J286" s="61"/>
      <c r="K286" s="61"/>
      <c r="L286" s="61"/>
      <c r="M286" s="61"/>
      <c r="N286" s="61"/>
      <c r="O286" s="61"/>
      <c r="P286" s="108"/>
    </row>
    <row r="287" spans="2:16" ht="9" customHeight="1" x14ac:dyDescent="0.2">
      <c r="B287" s="104"/>
      <c r="C287" s="24"/>
      <c r="D287" s="24"/>
      <c r="E287" s="24"/>
      <c r="F287" s="24"/>
      <c r="G287" s="36"/>
      <c r="H287" s="24"/>
      <c r="I287" s="24"/>
      <c r="J287" s="24"/>
      <c r="K287" s="24"/>
      <c r="L287" s="24"/>
      <c r="M287" s="24"/>
      <c r="N287" s="24"/>
      <c r="O287" s="24"/>
      <c r="P287" s="108"/>
    </row>
    <row r="288" spans="2:16" x14ac:dyDescent="0.2">
      <c r="B288" s="104"/>
      <c r="C288" s="24"/>
      <c r="D288" s="24"/>
      <c r="E288" s="24"/>
      <c r="F288" s="24"/>
      <c r="G288" s="37" t="s">
        <v>9</v>
      </c>
      <c r="H288" s="24"/>
      <c r="I288" s="61"/>
      <c r="J288" s="61"/>
      <c r="K288" s="61"/>
      <c r="L288" s="61"/>
      <c r="M288" s="61"/>
      <c r="N288" s="61"/>
      <c r="O288" s="61"/>
      <c r="P288" s="108"/>
    </row>
    <row r="289" spans="2:16" ht="6.75" customHeight="1" x14ac:dyDescent="0.2">
      <c r="B289" s="10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108"/>
    </row>
    <row r="290" spans="2:16" x14ac:dyDescent="0.2">
      <c r="B290" s="104"/>
      <c r="C290" s="74" t="s">
        <v>341</v>
      </c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122" t="s">
        <v>365</v>
      </c>
      <c r="P290" s="108"/>
    </row>
    <row r="291" spans="2:16" ht="15" thickBot="1" x14ac:dyDescent="0.25">
      <c r="B291" s="145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23" t="s">
        <v>361</v>
      </c>
      <c r="P291" s="148"/>
    </row>
    <row r="292" spans="2:16" ht="16.5" thickBot="1" x14ac:dyDescent="0.25">
      <c r="B292" s="85"/>
    </row>
    <row r="293" spans="2:16" ht="9" customHeight="1" x14ac:dyDescent="0.2">
      <c r="B293" s="112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5"/>
      <c r="P293" s="119"/>
    </row>
    <row r="294" spans="2:16" ht="27" customHeight="1" x14ac:dyDescent="0.2">
      <c r="B294" s="113"/>
      <c r="C294" s="81" t="s">
        <v>456</v>
      </c>
      <c r="D294" s="81"/>
      <c r="E294" s="81"/>
      <c r="F294" s="81"/>
      <c r="G294" s="81"/>
      <c r="H294" s="81"/>
      <c r="I294" s="24"/>
      <c r="J294" s="24"/>
      <c r="K294" s="81" t="s">
        <v>357</v>
      </c>
      <c r="L294" s="81"/>
      <c r="M294" s="81"/>
      <c r="N294" s="81"/>
      <c r="O294" s="111" t="s">
        <v>369</v>
      </c>
      <c r="P294" s="120"/>
    </row>
    <row r="295" spans="2:16" ht="9.75" customHeight="1" x14ac:dyDescent="0.2">
      <c r="B295" s="113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7"/>
      <c r="P295" s="118"/>
    </row>
    <row r="296" spans="2:16" ht="15" x14ac:dyDescent="0.2">
      <c r="B296" s="155"/>
      <c r="C296" s="199" t="s">
        <v>342</v>
      </c>
      <c r="D296" s="199"/>
      <c r="E296" s="199"/>
      <c r="F296" s="199"/>
      <c r="G296" s="24"/>
      <c r="H296" s="24"/>
      <c r="I296" s="254" t="s">
        <v>60</v>
      </c>
      <c r="J296" s="254"/>
      <c r="K296" s="254"/>
      <c r="L296" s="254" t="s">
        <v>61</v>
      </c>
      <c r="M296" s="254"/>
      <c r="N296" s="254"/>
      <c r="O296" s="254"/>
      <c r="P296" s="108"/>
    </row>
    <row r="297" spans="2:16" x14ac:dyDescent="0.2">
      <c r="B297" s="104"/>
      <c r="C297" s="199"/>
      <c r="D297" s="199"/>
      <c r="E297" s="199"/>
      <c r="F297" s="199"/>
      <c r="G297" s="24"/>
      <c r="H297" s="253" t="s">
        <v>67</v>
      </c>
      <c r="I297" s="211" t="s">
        <v>57</v>
      </c>
      <c r="J297" s="255" t="s">
        <v>24</v>
      </c>
      <c r="K297" s="255" t="s">
        <v>136</v>
      </c>
      <c r="L297" s="211" t="s">
        <v>18</v>
      </c>
      <c r="M297" s="211" t="s">
        <v>19</v>
      </c>
      <c r="N297" s="211" t="s">
        <v>9</v>
      </c>
      <c r="O297" s="248" t="s">
        <v>120</v>
      </c>
      <c r="P297" s="108"/>
    </row>
    <row r="298" spans="2:16" x14ac:dyDescent="0.2">
      <c r="B298" s="174"/>
      <c r="C298" s="199"/>
      <c r="D298" s="199"/>
      <c r="E298" s="199"/>
      <c r="F298" s="199"/>
      <c r="G298" s="24"/>
      <c r="H298" s="253"/>
      <c r="I298" s="211"/>
      <c r="J298" s="255"/>
      <c r="K298" s="255"/>
      <c r="L298" s="211"/>
      <c r="M298" s="211"/>
      <c r="N298" s="211"/>
      <c r="O298" s="248"/>
      <c r="P298" s="108"/>
    </row>
    <row r="299" spans="2:16" ht="16.5" customHeight="1" x14ac:dyDescent="0.2">
      <c r="B299" s="104"/>
      <c r="C299" s="24"/>
      <c r="D299" s="24"/>
      <c r="E299" s="24"/>
      <c r="F299" s="24"/>
      <c r="G299" s="130" t="s">
        <v>68</v>
      </c>
      <c r="H299" s="24"/>
      <c r="I299" s="61"/>
      <c r="J299" s="61"/>
      <c r="K299" s="61"/>
      <c r="L299" s="61"/>
      <c r="M299" s="61"/>
      <c r="N299" s="61"/>
      <c r="O299" s="61"/>
      <c r="P299" s="108"/>
    </row>
    <row r="300" spans="2:16" ht="16.5" customHeight="1" x14ac:dyDescent="0.2">
      <c r="B300" s="160"/>
      <c r="C300" s="24"/>
      <c r="D300" s="24"/>
      <c r="E300" s="24"/>
      <c r="F300" s="24"/>
      <c r="G300" s="130" t="s">
        <v>69</v>
      </c>
      <c r="H300" s="24"/>
      <c r="I300" s="61"/>
      <c r="J300" s="61"/>
      <c r="K300" s="61"/>
      <c r="L300" s="61"/>
      <c r="M300" s="61"/>
      <c r="N300" s="61"/>
      <c r="O300" s="61"/>
      <c r="P300" s="108"/>
    </row>
    <row r="301" spans="2:16" ht="16.5" customHeight="1" x14ac:dyDescent="0.2">
      <c r="B301" s="104"/>
      <c r="C301" s="24"/>
      <c r="D301" s="24"/>
      <c r="E301" s="24"/>
      <c r="F301" s="24"/>
      <c r="G301" s="130" t="s">
        <v>139</v>
      </c>
      <c r="H301" s="24"/>
      <c r="I301" s="61"/>
      <c r="J301" s="61"/>
      <c r="K301" s="61"/>
      <c r="L301" s="61"/>
      <c r="M301" s="61"/>
      <c r="N301" s="61"/>
      <c r="O301" s="61"/>
      <c r="P301" s="108"/>
    </row>
    <row r="302" spans="2:16" ht="16.5" customHeight="1" x14ac:dyDescent="0.2">
      <c r="B302" s="160"/>
      <c r="C302" s="24"/>
      <c r="D302" s="24"/>
      <c r="E302" s="24"/>
      <c r="F302" s="24"/>
      <c r="G302" s="130" t="s">
        <v>140</v>
      </c>
      <c r="H302" s="24"/>
      <c r="I302" s="61"/>
      <c r="J302" s="61"/>
      <c r="K302" s="61"/>
      <c r="L302" s="61"/>
      <c r="M302" s="61"/>
      <c r="N302" s="61"/>
      <c r="O302" s="61"/>
      <c r="P302" s="108"/>
    </row>
    <row r="303" spans="2:16" ht="16.5" customHeight="1" x14ac:dyDescent="0.2">
      <c r="B303" s="104"/>
      <c r="C303" s="24"/>
      <c r="D303" s="24"/>
      <c r="E303" s="24"/>
      <c r="F303" s="24"/>
      <c r="G303" s="130" t="s">
        <v>141</v>
      </c>
      <c r="H303" s="24"/>
      <c r="I303" s="61"/>
      <c r="J303" s="61"/>
      <c r="K303" s="61"/>
      <c r="L303" s="61"/>
      <c r="M303" s="61"/>
      <c r="N303" s="61"/>
      <c r="O303" s="61"/>
      <c r="P303" s="108"/>
    </row>
    <row r="304" spans="2:16" ht="16.5" customHeight="1" x14ac:dyDescent="0.2">
      <c r="B304" s="176"/>
      <c r="C304" s="24"/>
      <c r="D304" s="24"/>
      <c r="E304" s="24"/>
      <c r="F304" s="24"/>
      <c r="G304" s="130" t="s">
        <v>142</v>
      </c>
      <c r="H304" s="24"/>
      <c r="I304" s="61"/>
      <c r="J304" s="61"/>
      <c r="K304" s="61"/>
      <c r="L304" s="61"/>
      <c r="M304" s="61"/>
      <c r="N304" s="61"/>
      <c r="O304" s="61"/>
      <c r="P304" s="108"/>
    </row>
    <row r="305" spans="2:16" ht="16.5" customHeight="1" x14ac:dyDescent="0.2">
      <c r="B305" s="104"/>
      <c r="C305" s="24"/>
      <c r="D305" s="24"/>
      <c r="E305" s="24"/>
      <c r="F305" s="24"/>
      <c r="G305" s="130" t="s">
        <v>70</v>
      </c>
      <c r="H305" s="24"/>
      <c r="I305" s="61"/>
      <c r="J305" s="61"/>
      <c r="K305" s="61"/>
      <c r="L305" s="61"/>
      <c r="M305" s="61"/>
      <c r="N305" s="61"/>
      <c r="O305" s="61"/>
      <c r="P305" s="108"/>
    </row>
    <row r="306" spans="2:16" ht="16.5" customHeight="1" x14ac:dyDescent="0.2">
      <c r="B306" s="10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108"/>
    </row>
    <row r="307" spans="2:16" ht="16.5" customHeight="1" x14ac:dyDescent="0.2">
      <c r="B307" s="104"/>
      <c r="C307" s="24"/>
      <c r="D307" s="24"/>
      <c r="E307" s="24"/>
      <c r="F307" s="24"/>
      <c r="G307" s="37" t="s">
        <v>9</v>
      </c>
      <c r="H307" s="24"/>
      <c r="I307" s="61"/>
      <c r="J307" s="61"/>
      <c r="K307" s="61"/>
      <c r="L307" s="61"/>
      <c r="M307" s="61"/>
      <c r="N307" s="61"/>
      <c r="O307" s="61"/>
      <c r="P307" s="108"/>
    </row>
    <row r="308" spans="2:16" ht="16.5" customHeight="1" x14ac:dyDescent="0.2">
      <c r="B308" s="10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108"/>
    </row>
    <row r="309" spans="2:16" ht="16.5" customHeight="1" x14ac:dyDescent="0.2">
      <c r="B309" s="158"/>
      <c r="C309" s="24"/>
      <c r="D309" s="24"/>
      <c r="E309" s="24"/>
      <c r="F309" s="24"/>
      <c r="G309" s="37" t="s">
        <v>71</v>
      </c>
      <c r="H309" s="24"/>
      <c r="I309" s="61"/>
      <c r="J309" s="61"/>
      <c r="K309" s="61"/>
      <c r="L309" s="61"/>
      <c r="M309" s="61"/>
      <c r="N309" s="61"/>
      <c r="O309" s="61"/>
      <c r="P309" s="108"/>
    </row>
    <row r="310" spans="2:16" ht="16.5" customHeight="1" x14ac:dyDescent="0.2">
      <c r="B310" s="104"/>
      <c r="C310" s="24"/>
      <c r="D310" s="24"/>
      <c r="E310" s="24"/>
      <c r="F310" s="24"/>
      <c r="G310" s="74" t="s">
        <v>143</v>
      </c>
      <c r="H310" s="24"/>
      <c r="I310" s="61"/>
      <c r="J310" s="61"/>
      <c r="K310" s="61"/>
      <c r="L310" s="61"/>
      <c r="M310" s="61"/>
      <c r="N310" s="61"/>
      <c r="O310" s="61"/>
      <c r="P310" s="108"/>
    </row>
    <row r="311" spans="2:16" ht="16.5" customHeight="1" x14ac:dyDescent="0.2">
      <c r="B311" s="153"/>
      <c r="C311" s="24"/>
      <c r="D311" s="24"/>
      <c r="E311" s="24"/>
      <c r="F311" s="24"/>
      <c r="G311" s="74" t="s">
        <v>141</v>
      </c>
      <c r="H311" s="24"/>
      <c r="I311" s="61"/>
      <c r="J311" s="61"/>
      <c r="K311" s="61"/>
      <c r="L311" s="61"/>
      <c r="M311" s="61"/>
      <c r="N311" s="61"/>
      <c r="O311" s="61"/>
      <c r="P311" s="108"/>
    </row>
    <row r="312" spans="2:16" ht="16.5" customHeight="1" x14ac:dyDescent="0.2">
      <c r="B312" s="104"/>
      <c r="C312" s="24"/>
      <c r="D312" s="24"/>
      <c r="E312" s="24"/>
      <c r="F312" s="24"/>
      <c r="G312" s="74" t="s">
        <v>142</v>
      </c>
      <c r="H312" s="24"/>
      <c r="I312" s="61"/>
      <c r="J312" s="61"/>
      <c r="K312" s="61"/>
      <c r="L312" s="61"/>
      <c r="M312" s="61"/>
      <c r="N312" s="61"/>
      <c r="O312" s="61"/>
      <c r="P312" s="108"/>
    </row>
    <row r="313" spans="2:16" ht="16.5" customHeight="1" x14ac:dyDescent="0.2">
      <c r="B313" s="154"/>
      <c r="C313" s="24"/>
      <c r="D313" s="24"/>
      <c r="E313" s="24"/>
      <c r="F313" s="24"/>
      <c r="G313" s="74" t="s">
        <v>144</v>
      </c>
      <c r="H313" s="24"/>
      <c r="I313" s="61"/>
      <c r="J313" s="61"/>
      <c r="K313" s="61"/>
      <c r="L313" s="61"/>
      <c r="M313" s="61"/>
      <c r="N313" s="61"/>
      <c r="O313" s="61"/>
      <c r="P313" s="108"/>
    </row>
    <row r="314" spans="2:16" ht="16.5" customHeight="1" x14ac:dyDescent="0.2">
      <c r="B314" s="153"/>
      <c r="C314" s="24"/>
      <c r="D314" s="24"/>
      <c r="E314" s="24"/>
      <c r="F314" s="24"/>
      <c r="G314" s="74" t="s">
        <v>145</v>
      </c>
      <c r="H314" s="24"/>
      <c r="I314" s="61"/>
      <c r="J314" s="61"/>
      <c r="K314" s="61"/>
      <c r="L314" s="61"/>
      <c r="M314" s="61"/>
      <c r="N314" s="61"/>
      <c r="O314" s="61"/>
      <c r="P314" s="108"/>
    </row>
    <row r="315" spans="2:16" ht="16.5" customHeight="1" x14ac:dyDescent="0.2">
      <c r="B315" s="104"/>
      <c r="C315" s="24"/>
      <c r="D315" s="24"/>
      <c r="E315" s="24"/>
      <c r="F315" s="24"/>
      <c r="G315" s="74" t="s">
        <v>146</v>
      </c>
      <c r="H315" s="24"/>
      <c r="I315" s="61"/>
      <c r="J315" s="61"/>
      <c r="K315" s="61"/>
      <c r="L315" s="61"/>
      <c r="M315" s="61"/>
      <c r="N315" s="61"/>
      <c r="O315" s="61"/>
      <c r="P315" s="108"/>
    </row>
    <row r="316" spans="2:16" ht="16.5" customHeight="1" x14ac:dyDescent="0.2">
      <c r="B316" s="174"/>
      <c r="C316" s="24"/>
      <c r="D316" s="24"/>
      <c r="E316" s="24"/>
      <c r="F316" s="24"/>
      <c r="G316" s="74" t="s">
        <v>147</v>
      </c>
      <c r="H316" s="24"/>
      <c r="I316" s="61"/>
      <c r="J316" s="61"/>
      <c r="K316" s="61"/>
      <c r="L316" s="61"/>
      <c r="M316" s="61"/>
      <c r="N316" s="61"/>
      <c r="O316" s="61"/>
      <c r="P316" s="108"/>
    </row>
    <row r="317" spans="2:16" ht="16.5" customHeight="1" x14ac:dyDescent="0.2">
      <c r="B317" s="153"/>
      <c r="C317" s="24"/>
      <c r="D317" s="24"/>
      <c r="E317" s="24"/>
      <c r="F317" s="24"/>
      <c r="G317" s="74" t="s">
        <v>148</v>
      </c>
      <c r="H317" s="24"/>
      <c r="I317" s="61"/>
      <c r="J317" s="61"/>
      <c r="K317" s="61"/>
      <c r="L317" s="61"/>
      <c r="M317" s="61"/>
      <c r="N317" s="61"/>
      <c r="O317" s="61"/>
      <c r="P317" s="108"/>
    </row>
    <row r="318" spans="2:16" ht="16.5" customHeight="1" x14ac:dyDescent="0.2">
      <c r="B318" s="153"/>
      <c r="C318" s="24"/>
      <c r="D318" s="24"/>
      <c r="E318" s="24"/>
      <c r="F318" s="24"/>
      <c r="G318" s="74" t="s">
        <v>149</v>
      </c>
      <c r="H318" s="24"/>
      <c r="I318" s="61"/>
      <c r="J318" s="61"/>
      <c r="K318" s="61"/>
      <c r="L318" s="61"/>
      <c r="M318" s="61"/>
      <c r="N318" s="61"/>
      <c r="O318" s="61"/>
      <c r="P318" s="108"/>
    </row>
    <row r="319" spans="2:16" ht="16.5" customHeight="1" x14ac:dyDescent="0.2">
      <c r="B319" s="104"/>
      <c r="C319" s="24"/>
      <c r="D319" s="24"/>
      <c r="E319" s="24"/>
      <c r="F319" s="24"/>
      <c r="G319" s="74" t="s">
        <v>150</v>
      </c>
      <c r="H319" s="24"/>
      <c r="I319" s="61"/>
      <c r="J319" s="61"/>
      <c r="K319" s="61"/>
      <c r="L319" s="61"/>
      <c r="M319" s="61"/>
      <c r="N319" s="61"/>
      <c r="O319" s="61"/>
      <c r="P319" s="108"/>
    </row>
    <row r="320" spans="2:16" ht="16.5" customHeight="1" x14ac:dyDescent="0.2">
      <c r="B320" s="153"/>
      <c r="C320" s="24"/>
      <c r="D320" s="24"/>
      <c r="E320" s="24"/>
      <c r="F320" s="24"/>
      <c r="G320" s="74" t="s">
        <v>72</v>
      </c>
      <c r="H320" s="24"/>
      <c r="I320" s="61"/>
      <c r="J320" s="61"/>
      <c r="K320" s="61"/>
      <c r="L320" s="61"/>
      <c r="M320" s="61"/>
      <c r="N320" s="61"/>
      <c r="O320" s="61"/>
      <c r="P320" s="108"/>
    </row>
    <row r="321" spans="2:16" ht="16.5" customHeight="1" x14ac:dyDescent="0.2">
      <c r="B321" s="10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108"/>
    </row>
    <row r="322" spans="2:16" ht="16.5" customHeight="1" x14ac:dyDescent="0.2">
      <c r="B322" s="104"/>
      <c r="C322" s="24"/>
      <c r="D322" s="24"/>
      <c r="E322" s="24"/>
      <c r="F322" s="24"/>
      <c r="G322" s="37" t="s">
        <v>9</v>
      </c>
      <c r="H322" s="24"/>
      <c r="I322" s="61"/>
      <c r="J322" s="61"/>
      <c r="K322" s="61"/>
      <c r="L322" s="61"/>
      <c r="M322" s="61"/>
      <c r="N322" s="61"/>
      <c r="O322" s="61"/>
      <c r="P322" s="108"/>
    </row>
    <row r="323" spans="2:16" ht="16.5" customHeight="1" x14ac:dyDescent="0.2">
      <c r="B323" s="104"/>
      <c r="C323" s="24"/>
      <c r="D323" s="24"/>
      <c r="E323" s="24"/>
      <c r="F323" s="24"/>
      <c r="G323" s="37"/>
      <c r="H323" s="24"/>
      <c r="I323" s="24"/>
      <c r="J323" s="24"/>
      <c r="K323" s="24"/>
      <c r="L323" s="24"/>
      <c r="M323" s="24"/>
      <c r="N323" s="24"/>
      <c r="O323" s="24"/>
      <c r="P323" s="108"/>
    </row>
    <row r="324" spans="2:16" ht="14.25" customHeight="1" x14ac:dyDescent="0.2">
      <c r="B324" s="104"/>
      <c r="C324" s="24"/>
      <c r="D324" s="24"/>
      <c r="E324" s="24"/>
      <c r="F324" s="24"/>
      <c r="G324" s="37"/>
      <c r="H324" s="24"/>
      <c r="I324" s="24"/>
      <c r="J324" s="24"/>
      <c r="K324" s="24"/>
      <c r="L324" s="24"/>
      <c r="M324" s="24"/>
      <c r="N324" s="24"/>
      <c r="O324" s="122" t="s">
        <v>368</v>
      </c>
      <c r="P324" s="108"/>
    </row>
    <row r="325" spans="2:16" ht="16.5" customHeight="1" thickBot="1" x14ac:dyDescent="0.25">
      <c r="B325" s="145"/>
      <c r="C325" s="147"/>
      <c r="D325" s="147"/>
      <c r="E325" s="147"/>
      <c r="F325" s="147"/>
      <c r="G325" s="177"/>
      <c r="H325" s="147"/>
      <c r="I325" s="147"/>
      <c r="J325" s="147"/>
      <c r="K325" s="147"/>
      <c r="L325" s="147"/>
      <c r="M325" s="147"/>
      <c r="N325" s="147"/>
      <c r="O325" s="123" t="s">
        <v>361</v>
      </c>
      <c r="P325" s="148"/>
    </row>
    <row r="326" spans="2:16" ht="16.5" customHeight="1" x14ac:dyDescent="0.2">
      <c r="G326" s="86"/>
      <c r="I326" s="24"/>
      <c r="J326" s="24"/>
      <c r="K326" s="24"/>
      <c r="L326" s="24"/>
      <c r="M326" s="24"/>
      <c r="N326" s="24"/>
      <c r="O326" s="24"/>
    </row>
    <row r="327" spans="2:16" ht="16.5" customHeight="1" thickBot="1" x14ac:dyDescent="0.25">
      <c r="G327" s="86"/>
      <c r="I327" s="24"/>
      <c r="J327" s="24"/>
      <c r="K327" s="24"/>
      <c r="L327" s="24"/>
      <c r="M327" s="24"/>
      <c r="N327" s="24"/>
      <c r="O327" s="24"/>
    </row>
    <row r="328" spans="2:16" x14ac:dyDescent="0.2">
      <c r="B328" s="101"/>
      <c r="C328" s="102"/>
      <c r="D328" s="102"/>
      <c r="E328" s="102"/>
      <c r="F328" s="102"/>
      <c r="G328" s="102"/>
      <c r="H328" s="102"/>
      <c r="I328" s="102"/>
      <c r="J328" s="102"/>
      <c r="K328" s="102"/>
      <c r="L328" s="102"/>
      <c r="M328" s="102"/>
      <c r="N328" s="102"/>
      <c r="O328" s="102"/>
      <c r="P328" s="103"/>
    </row>
    <row r="329" spans="2:16" ht="15.75" x14ac:dyDescent="0.2">
      <c r="B329" s="104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6"/>
      <c r="P329" s="107"/>
    </row>
    <row r="330" spans="2:16" ht="18" x14ac:dyDescent="0.2">
      <c r="B330" s="104"/>
      <c r="C330" s="105"/>
      <c r="D330" s="105"/>
      <c r="E330" s="105"/>
      <c r="F330" s="203" t="s">
        <v>355</v>
      </c>
      <c r="G330" s="203"/>
      <c r="H330" s="203"/>
      <c r="I330" s="203"/>
      <c r="J330" s="203"/>
      <c r="K330" s="203"/>
      <c r="L330" s="203"/>
      <c r="M330" s="105"/>
      <c r="N330" s="105"/>
      <c r="O330" s="105"/>
      <c r="P330" s="108"/>
    </row>
    <row r="331" spans="2:16" ht="18" x14ac:dyDescent="0.2">
      <c r="B331" s="104"/>
      <c r="C331" s="105"/>
      <c r="D331" s="105"/>
      <c r="E331" s="105"/>
      <c r="F331" s="203" t="s">
        <v>356</v>
      </c>
      <c r="G331" s="203"/>
      <c r="H331" s="203"/>
      <c r="I331" s="203"/>
      <c r="J331" s="203"/>
      <c r="K331" s="203"/>
      <c r="L331" s="203"/>
      <c r="M331" s="109"/>
      <c r="N331" s="105"/>
      <c r="O331" s="105"/>
      <c r="P331" s="108"/>
    </row>
    <row r="332" spans="2:16" ht="18" x14ac:dyDescent="0.2">
      <c r="B332" s="104"/>
      <c r="C332" s="105"/>
      <c r="D332" s="105"/>
      <c r="E332" s="105"/>
      <c r="F332" s="251" t="s">
        <v>152</v>
      </c>
      <c r="G332" s="251"/>
      <c r="H332" s="251"/>
      <c r="I332" s="251"/>
      <c r="J332" s="251"/>
      <c r="K332" s="251"/>
      <c r="L332" s="251"/>
      <c r="M332" s="109"/>
      <c r="N332" s="105"/>
      <c r="O332" s="105"/>
      <c r="P332" s="108"/>
    </row>
    <row r="333" spans="2:16" ht="18" x14ac:dyDescent="0.2">
      <c r="B333" s="104"/>
      <c r="C333" s="110"/>
      <c r="D333" s="105"/>
      <c r="E333" s="105"/>
      <c r="F333" s="251"/>
      <c r="G333" s="251"/>
      <c r="H333" s="251"/>
      <c r="I333" s="251"/>
      <c r="J333" s="251"/>
      <c r="K333" s="251"/>
      <c r="L333" s="251"/>
      <c r="M333" s="105"/>
      <c r="N333" s="105"/>
      <c r="O333" s="105"/>
      <c r="P333" s="108"/>
    </row>
    <row r="334" spans="2:16" x14ac:dyDescent="0.2">
      <c r="B334" s="153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108"/>
    </row>
    <row r="335" spans="2:16" ht="18" x14ac:dyDescent="0.2">
      <c r="B335" s="104"/>
      <c r="C335" s="81" t="s">
        <v>1</v>
      </c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108"/>
    </row>
    <row r="336" spans="2:16" ht="18" x14ac:dyDescent="0.2">
      <c r="B336" s="104"/>
      <c r="C336" s="81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108"/>
    </row>
    <row r="337" spans="2:16" ht="18" x14ac:dyDescent="0.2">
      <c r="B337" s="168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108"/>
    </row>
    <row r="338" spans="2:16" ht="22.5" customHeight="1" x14ac:dyDescent="0.2">
      <c r="B338" s="156"/>
      <c r="C338" s="35" t="s">
        <v>2</v>
      </c>
      <c r="D338" s="24"/>
      <c r="E338" s="226" t="str">
        <f>+E44</f>
        <v>15MSU0945E</v>
      </c>
      <c r="F338" s="227"/>
      <c r="G338" s="227"/>
      <c r="H338" s="228"/>
      <c r="I338" s="24"/>
      <c r="J338" s="24"/>
      <c r="K338" s="24"/>
      <c r="L338" s="24"/>
      <c r="M338" s="24"/>
      <c r="N338" s="24"/>
      <c r="O338" s="24"/>
      <c r="P338" s="108"/>
    </row>
    <row r="339" spans="2:16" x14ac:dyDescent="0.2">
      <c r="B339" s="153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108"/>
    </row>
    <row r="340" spans="2:16" x14ac:dyDescent="0.2">
      <c r="B340" s="153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108"/>
    </row>
    <row r="341" spans="2:16" ht="21" customHeight="1" x14ac:dyDescent="0.2">
      <c r="B341" s="104"/>
      <c r="C341" s="35" t="s">
        <v>336</v>
      </c>
      <c r="D341" s="24"/>
      <c r="E341" s="42" t="str">
        <f>+E45</f>
        <v>UNIVERSIDAD MEXIQUENSE DEL BICENTENARIO</v>
      </c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108"/>
    </row>
    <row r="342" spans="2:16" x14ac:dyDescent="0.2">
      <c r="B342" s="169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108"/>
    </row>
    <row r="343" spans="2:16" x14ac:dyDescent="0.2">
      <c r="B343" s="153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108"/>
    </row>
    <row r="344" spans="2:16" x14ac:dyDescent="0.2">
      <c r="B344" s="15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108"/>
    </row>
    <row r="345" spans="2:16" x14ac:dyDescent="0.2">
      <c r="B345" s="153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108"/>
    </row>
    <row r="346" spans="2:16" x14ac:dyDescent="0.2">
      <c r="B346" s="153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108"/>
    </row>
    <row r="347" spans="2:16" x14ac:dyDescent="0.2">
      <c r="B347" s="10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108"/>
    </row>
    <row r="348" spans="2:16" x14ac:dyDescent="0.2">
      <c r="B348" s="153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108"/>
    </row>
    <row r="349" spans="2:16" x14ac:dyDescent="0.2">
      <c r="B349" s="158"/>
      <c r="C349" s="24"/>
      <c r="D349" s="24"/>
      <c r="E349" s="24"/>
      <c r="F349" s="24"/>
      <c r="G349" s="24"/>
      <c r="H349" s="24"/>
      <c r="I349" s="24"/>
      <c r="J349" s="24"/>
      <c r="K349" s="24"/>
      <c r="L349" s="52" t="s">
        <v>41</v>
      </c>
      <c r="M349" s="52" t="s">
        <v>42</v>
      </c>
      <c r="N349" s="52" t="s">
        <v>43</v>
      </c>
      <c r="O349" s="24"/>
      <c r="P349" s="108"/>
    </row>
    <row r="350" spans="2:16" ht="21.75" customHeight="1" x14ac:dyDescent="0.2">
      <c r="B350" s="170" t="s">
        <v>39</v>
      </c>
      <c r="C350" s="24"/>
      <c r="D350" s="24"/>
      <c r="E350" s="24"/>
      <c r="F350" s="24"/>
      <c r="G350" s="24"/>
      <c r="H350" s="24"/>
      <c r="I350" s="24"/>
      <c r="J350" s="36" t="s">
        <v>40</v>
      </c>
      <c r="K350" s="24"/>
      <c r="L350" s="53">
        <v>2013</v>
      </c>
      <c r="M350" s="53">
        <v>9</v>
      </c>
      <c r="N350" s="53">
        <v>30</v>
      </c>
      <c r="O350" s="24"/>
      <c r="P350" s="108"/>
    </row>
    <row r="351" spans="2:16" x14ac:dyDescent="0.2">
      <c r="B351" s="153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108"/>
    </row>
    <row r="352" spans="2:16" ht="15" thickBot="1" x14ac:dyDescent="0.25">
      <c r="B352" s="10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108"/>
    </row>
    <row r="353" spans="2:16" ht="15" customHeight="1" x14ac:dyDescent="0.2">
      <c r="B353" s="158"/>
      <c r="C353" s="213" t="s">
        <v>331</v>
      </c>
      <c r="D353" s="214"/>
      <c r="E353" s="214"/>
      <c r="F353" s="214"/>
      <c r="G353" s="214"/>
      <c r="H353" s="214"/>
      <c r="I353" s="214"/>
      <c r="J353" s="214"/>
      <c r="K353" s="214"/>
      <c r="L353" s="214"/>
      <c r="M353" s="214"/>
      <c r="N353" s="214"/>
      <c r="O353" s="215"/>
      <c r="P353" s="108"/>
    </row>
    <row r="354" spans="2:16" ht="15" customHeight="1" x14ac:dyDescent="0.2">
      <c r="B354" s="104"/>
      <c r="C354" s="216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18"/>
      <c r="P354" s="108"/>
    </row>
    <row r="355" spans="2:16" ht="15" customHeight="1" x14ac:dyDescent="0.2">
      <c r="B355" s="153"/>
      <c r="C355" s="219" t="s">
        <v>151</v>
      </c>
      <c r="D355" s="220"/>
      <c r="E355" s="220"/>
      <c r="F355" s="220"/>
      <c r="G355" s="220"/>
      <c r="H355" s="220"/>
      <c r="I355" s="220"/>
      <c r="J355" s="220"/>
      <c r="K355" s="220"/>
      <c r="L355" s="220"/>
      <c r="M355" s="220"/>
      <c r="N355" s="220"/>
      <c r="O355" s="221"/>
      <c r="P355" s="108"/>
    </row>
    <row r="356" spans="2:16" ht="15" thickBot="1" x14ac:dyDescent="0.25">
      <c r="B356" s="153"/>
      <c r="C356" s="222"/>
      <c r="D356" s="223"/>
      <c r="E356" s="223"/>
      <c r="F356" s="223"/>
      <c r="G356" s="223"/>
      <c r="H356" s="223"/>
      <c r="I356" s="223"/>
      <c r="J356" s="223"/>
      <c r="K356" s="223"/>
      <c r="L356" s="223"/>
      <c r="M356" s="223"/>
      <c r="N356" s="223"/>
      <c r="O356" s="224"/>
      <c r="P356" s="108"/>
    </row>
    <row r="357" spans="2:16" x14ac:dyDescent="0.2">
      <c r="B357" s="153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108"/>
    </row>
    <row r="358" spans="2:16" ht="15" thickBot="1" x14ac:dyDescent="0.25">
      <c r="B358" s="162"/>
      <c r="C358" s="178"/>
      <c r="D358" s="178"/>
      <c r="E358" s="178"/>
      <c r="F358" s="178"/>
      <c r="G358" s="178"/>
      <c r="H358" s="178"/>
      <c r="I358" s="178"/>
      <c r="J358" s="178"/>
      <c r="K358" s="178"/>
      <c r="L358" s="178"/>
      <c r="M358" s="178"/>
      <c r="N358" s="178"/>
      <c r="O358" s="178"/>
      <c r="P358" s="148"/>
    </row>
    <row r="359" spans="2:16" x14ac:dyDescent="0.2">
      <c r="B359" s="36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</row>
    <row r="360" spans="2:16" ht="15" thickBot="1" x14ac:dyDescent="0.25">
      <c r="B360" s="36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</row>
    <row r="361" spans="2:16" ht="9" customHeight="1" x14ac:dyDescent="0.2">
      <c r="B361" s="112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5"/>
      <c r="P361" s="119"/>
    </row>
    <row r="362" spans="2:16" ht="27" customHeight="1" x14ac:dyDescent="0.2">
      <c r="B362" s="113"/>
      <c r="C362" s="81" t="s">
        <v>456</v>
      </c>
      <c r="D362" s="81"/>
      <c r="E362" s="81"/>
      <c r="F362" s="81"/>
      <c r="G362" s="81"/>
      <c r="H362" s="81"/>
      <c r="I362" s="24"/>
      <c r="J362" s="24"/>
      <c r="K362" s="81" t="s">
        <v>357</v>
      </c>
      <c r="L362" s="81"/>
      <c r="M362" s="81"/>
      <c r="N362" s="252" t="s">
        <v>372</v>
      </c>
      <c r="O362" s="252"/>
      <c r="P362" s="120"/>
    </row>
    <row r="363" spans="2:16" ht="12" customHeight="1" x14ac:dyDescent="0.2">
      <c r="B363" s="113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7"/>
      <c r="P363" s="118"/>
    </row>
    <row r="364" spans="2:16" ht="18" x14ac:dyDescent="0.2">
      <c r="B364" s="104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2"/>
      <c r="P364" s="108"/>
    </row>
    <row r="365" spans="2:16" ht="18" x14ac:dyDescent="0.2">
      <c r="B365" s="104"/>
      <c r="C365" s="133" t="s">
        <v>373</v>
      </c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108"/>
    </row>
    <row r="366" spans="2:16" x14ac:dyDescent="0.2">
      <c r="B366" s="10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108"/>
    </row>
    <row r="367" spans="2:16" ht="15.75" x14ac:dyDescent="0.2">
      <c r="B367" s="179"/>
      <c r="C367" s="67" t="s">
        <v>73</v>
      </c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108"/>
    </row>
    <row r="368" spans="2:16" x14ac:dyDescent="0.2">
      <c r="B368" s="104"/>
      <c r="C368" s="199" t="s">
        <v>343</v>
      </c>
      <c r="D368" s="199"/>
      <c r="E368" s="199"/>
      <c r="F368" s="199"/>
      <c r="G368" s="24"/>
      <c r="H368" s="24"/>
      <c r="I368" s="78" t="s">
        <v>74</v>
      </c>
      <c r="J368" s="24"/>
      <c r="K368" s="24"/>
      <c r="L368" s="68" t="s">
        <v>81</v>
      </c>
      <c r="M368" s="24"/>
      <c r="N368" s="24"/>
      <c r="O368" s="24"/>
      <c r="P368" s="108"/>
    </row>
    <row r="369" spans="2:16" x14ac:dyDescent="0.2">
      <c r="B369" s="104"/>
      <c r="C369" s="199"/>
      <c r="D369" s="199"/>
      <c r="E369" s="199"/>
      <c r="F369" s="199"/>
      <c r="G369" s="24"/>
      <c r="H369" s="24"/>
      <c r="I369" s="24"/>
      <c r="J369" s="24"/>
      <c r="K369" s="24"/>
      <c r="L369" s="24"/>
      <c r="M369" s="24"/>
      <c r="N369" s="24"/>
      <c r="O369" s="24"/>
      <c r="P369" s="108"/>
    </row>
    <row r="370" spans="2:16" ht="16.5" customHeight="1" x14ac:dyDescent="0.2">
      <c r="B370" s="153"/>
      <c r="C370" s="199"/>
      <c r="D370" s="199"/>
      <c r="E370" s="199"/>
      <c r="F370" s="199"/>
      <c r="G370" s="24"/>
      <c r="H370" s="24"/>
      <c r="I370" s="36" t="s">
        <v>75</v>
      </c>
      <c r="J370" s="24"/>
      <c r="K370" s="24"/>
      <c r="L370" s="62">
        <f>IF($E$44="","",VLOOKUP($E$44,Base!$A$3:$GI$3,72,FALSE))</f>
        <v>10</v>
      </c>
      <c r="M370" s="24"/>
      <c r="N370" s="24"/>
      <c r="O370" s="24"/>
      <c r="P370" s="108"/>
    </row>
    <row r="371" spans="2:16" ht="16.5" customHeight="1" x14ac:dyDescent="0.2">
      <c r="B371" s="153"/>
      <c r="C371" s="125"/>
      <c r="D371" s="125"/>
      <c r="E371" s="125"/>
      <c r="F371" s="125"/>
      <c r="G371" s="24"/>
      <c r="H371" s="24"/>
      <c r="I371" s="36" t="s">
        <v>76</v>
      </c>
      <c r="J371" s="24"/>
      <c r="K371" s="24"/>
      <c r="L371" s="62">
        <f>IF($E$44="","",VLOOKUP($E$44,Base!$A$3:$GI$3,73,FALSE))</f>
        <v>0</v>
      </c>
      <c r="M371" s="24"/>
      <c r="N371" s="24"/>
      <c r="O371" s="24"/>
      <c r="P371" s="108"/>
    </row>
    <row r="372" spans="2:16" ht="16.5" customHeight="1" x14ac:dyDescent="0.2">
      <c r="B372" s="153"/>
      <c r="C372" s="125"/>
      <c r="D372" s="125"/>
      <c r="E372" s="125"/>
      <c r="F372" s="125"/>
      <c r="G372" s="24"/>
      <c r="H372" s="24"/>
      <c r="I372" s="36" t="s">
        <v>77</v>
      </c>
      <c r="J372" s="24"/>
      <c r="K372" s="24"/>
      <c r="L372" s="62">
        <f>IF($E$44="","",VLOOKUP($E$44,Base!$A$3:$GI$3,74,FALSE))</f>
        <v>2</v>
      </c>
      <c r="M372" s="24"/>
      <c r="N372" s="24"/>
      <c r="O372" s="24"/>
      <c r="P372" s="108"/>
    </row>
    <row r="373" spans="2:16" ht="16.5" customHeight="1" x14ac:dyDescent="0.2">
      <c r="B373" s="153"/>
      <c r="C373" s="125"/>
      <c r="D373" s="125"/>
      <c r="E373" s="125"/>
      <c r="F373" s="125"/>
      <c r="G373" s="24"/>
      <c r="H373" s="24"/>
      <c r="I373" s="36" t="s">
        <v>78</v>
      </c>
      <c r="J373" s="24"/>
      <c r="K373" s="24"/>
      <c r="L373" s="62">
        <f>IF($E$44="","",VLOOKUP($E$44,Base!$A$3:$GI$3,75,FALSE))</f>
        <v>35</v>
      </c>
      <c r="M373" s="24"/>
      <c r="N373" s="24"/>
      <c r="O373" s="24"/>
      <c r="P373" s="108"/>
    </row>
    <row r="374" spans="2:16" ht="16.5" customHeight="1" x14ac:dyDescent="0.2">
      <c r="B374" s="104"/>
      <c r="C374" s="125"/>
      <c r="D374" s="125"/>
      <c r="E374" s="125"/>
      <c r="F374" s="125"/>
      <c r="G374" s="24"/>
      <c r="H374" s="24"/>
      <c r="I374" s="36" t="s">
        <v>79</v>
      </c>
      <c r="J374" s="24"/>
      <c r="K374" s="24"/>
      <c r="L374" s="62">
        <f>IF($E$44="","",VLOOKUP($E$44,Base!$A$3:$GI$3,76,FALSE))</f>
        <v>1</v>
      </c>
      <c r="M374" s="24"/>
      <c r="N374" s="24"/>
      <c r="O374" s="24"/>
      <c r="P374" s="108"/>
    </row>
    <row r="375" spans="2:16" ht="16.5" customHeight="1" x14ac:dyDescent="0.2">
      <c r="B375" s="155"/>
      <c r="C375" s="125"/>
      <c r="D375" s="125"/>
      <c r="E375" s="125"/>
      <c r="F375" s="125"/>
      <c r="G375" s="24"/>
      <c r="H375" s="24"/>
      <c r="I375" s="36" t="s">
        <v>80</v>
      </c>
      <c r="J375" s="24"/>
      <c r="K375" s="24"/>
      <c r="L375" s="62">
        <f>IF($E$44="","",VLOOKUP($E$44,Base!$A$3:$GI$3,77,FALSE))</f>
        <v>1</v>
      </c>
      <c r="M375" s="24"/>
      <c r="N375" s="24"/>
      <c r="O375" s="24"/>
      <c r="P375" s="108"/>
    </row>
    <row r="376" spans="2:16" ht="16.5" customHeight="1" x14ac:dyDescent="0.2">
      <c r="B376" s="104"/>
      <c r="C376" s="125"/>
      <c r="D376" s="125"/>
      <c r="E376" s="125"/>
      <c r="F376" s="125"/>
      <c r="G376" s="24"/>
      <c r="H376" s="24"/>
      <c r="I376" s="35"/>
      <c r="J376" s="24"/>
      <c r="K376" s="24"/>
      <c r="L376" s="24"/>
      <c r="M376" s="24"/>
      <c r="N376" s="24"/>
      <c r="O376" s="24"/>
      <c r="P376" s="108"/>
    </row>
    <row r="377" spans="2:16" ht="16.5" customHeight="1" x14ac:dyDescent="0.2">
      <c r="B377" s="153"/>
      <c r="C377" s="125"/>
      <c r="D377" s="125"/>
      <c r="E377" s="125"/>
      <c r="F377" s="125"/>
      <c r="G377" s="24"/>
      <c r="H377" s="24"/>
      <c r="I377" s="78" t="s">
        <v>9</v>
      </c>
      <c r="J377" s="24"/>
      <c r="K377" s="24"/>
      <c r="L377" s="62">
        <f>SUM(L370:L375)</f>
        <v>49</v>
      </c>
      <c r="M377" s="24"/>
      <c r="N377" s="24"/>
      <c r="O377" s="24"/>
      <c r="P377" s="108"/>
    </row>
    <row r="378" spans="2:16" x14ac:dyDescent="0.2">
      <c r="B378" s="153"/>
      <c r="C378" s="125"/>
      <c r="D378" s="125"/>
      <c r="E378" s="125"/>
      <c r="F378" s="125"/>
      <c r="G378" s="24"/>
      <c r="H378" s="24"/>
      <c r="I378" s="78"/>
      <c r="J378" s="24"/>
      <c r="K378" s="24"/>
      <c r="L378" s="24"/>
      <c r="M378" s="24"/>
      <c r="N378" s="24"/>
      <c r="O378" s="24"/>
      <c r="P378" s="108"/>
    </row>
    <row r="379" spans="2:16" ht="10.5" customHeight="1" x14ac:dyDescent="0.2">
      <c r="B379" s="104"/>
      <c r="C379" s="125"/>
      <c r="D379" s="125"/>
      <c r="E379" s="125"/>
      <c r="F379" s="125"/>
      <c r="G379" s="24"/>
      <c r="H379" s="24"/>
      <c r="I379" s="24"/>
      <c r="J379" s="24"/>
      <c r="K379" s="24"/>
      <c r="L379" s="24"/>
      <c r="M379" s="24"/>
      <c r="N379" s="24"/>
      <c r="O379" s="24"/>
      <c r="P379" s="108"/>
    </row>
    <row r="380" spans="2:16" x14ac:dyDescent="0.2">
      <c r="B380" s="104"/>
      <c r="C380" s="125"/>
      <c r="D380" s="125"/>
      <c r="E380" s="125"/>
      <c r="F380" s="125"/>
      <c r="G380" s="24"/>
      <c r="H380" s="24"/>
      <c r="I380" s="24"/>
      <c r="J380" s="24"/>
      <c r="K380" s="24"/>
      <c r="L380" s="24"/>
      <c r="M380" s="24"/>
      <c r="N380" s="24"/>
      <c r="O380" s="24"/>
      <c r="P380" s="108"/>
    </row>
    <row r="381" spans="2:16" ht="15.75" x14ac:dyDescent="0.2">
      <c r="B381" s="104"/>
      <c r="C381" s="82" t="s">
        <v>82</v>
      </c>
      <c r="D381" s="125"/>
      <c r="E381" s="125"/>
      <c r="F381" s="125"/>
      <c r="G381" s="24"/>
      <c r="H381" s="24"/>
      <c r="I381" s="24"/>
      <c r="J381" s="24"/>
      <c r="K381" s="24"/>
      <c r="L381" s="24"/>
      <c r="M381" s="24"/>
      <c r="N381" s="24"/>
      <c r="O381" s="24"/>
      <c r="P381" s="108"/>
    </row>
    <row r="382" spans="2:16" ht="15" customHeight="1" x14ac:dyDescent="0.2">
      <c r="B382" s="180"/>
      <c r="C382" s="125"/>
      <c r="D382" s="125"/>
      <c r="E382" s="125"/>
      <c r="F382" s="125"/>
      <c r="G382" s="24"/>
      <c r="H382" s="24"/>
      <c r="I382" s="253" t="s">
        <v>83</v>
      </c>
      <c r="J382" s="253"/>
      <c r="K382" s="24"/>
      <c r="L382" s="209" t="s">
        <v>86</v>
      </c>
      <c r="M382" s="259" t="s">
        <v>87</v>
      </c>
      <c r="N382" s="259"/>
      <c r="O382" s="259"/>
      <c r="P382" s="108"/>
    </row>
    <row r="383" spans="2:16" x14ac:dyDescent="0.2">
      <c r="B383" s="153"/>
      <c r="C383" s="199" t="s">
        <v>344</v>
      </c>
      <c r="D383" s="199"/>
      <c r="E383" s="199"/>
      <c r="F383" s="199"/>
      <c r="G383" s="24"/>
      <c r="H383" s="24"/>
      <c r="I383" s="253"/>
      <c r="J383" s="253"/>
      <c r="K383" s="24"/>
      <c r="L383" s="209"/>
      <c r="M383" s="259"/>
      <c r="N383" s="259"/>
      <c r="O383" s="259"/>
      <c r="P383" s="108"/>
    </row>
    <row r="384" spans="2:16" x14ac:dyDescent="0.2">
      <c r="B384" s="104"/>
      <c r="C384" s="199"/>
      <c r="D384" s="199"/>
      <c r="E384" s="199"/>
      <c r="F384" s="199"/>
      <c r="G384" s="24"/>
      <c r="H384" s="24"/>
      <c r="I384" s="24"/>
      <c r="J384" s="24"/>
      <c r="K384" s="24"/>
      <c r="L384" s="24"/>
      <c r="M384" s="24"/>
      <c r="N384" s="24"/>
      <c r="O384" s="24"/>
      <c r="P384" s="108"/>
    </row>
    <row r="385" spans="2:16" ht="16.5" customHeight="1" x14ac:dyDescent="0.2">
      <c r="B385" s="104"/>
      <c r="C385" s="199"/>
      <c r="D385" s="199"/>
      <c r="E385" s="199"/>
      <c r="F385" s="199"/>
      <c r="G385" s="24"/>
      <c r="H385" s="24"/>
      <c r="I385" s="36" t="s">
        <v>153</v>
      </c>
      <c r="J385" s="24"/>
      <c r="K385" s="24"/>
      <c r="L385" s="53"/>
      <c r="M385" s="24"/>
      <c r="N385" s="61"/>
      <c r="O385" s="24"/>
      <c r="P385" s="108"/>
    </row>
    <row r="386" spans="2:16" ht="16.5" customHeight="1" x14ac:dyDescent="0.2">
      <c r="B386" s="153"/>
      <c r="C386" s="199"/>
      <c r="D386" s="199"/>
      <c r="E386" s="199"/>
      <c r="F386" s="199"/>
      <c r="G386" s="24"/>
      <c r="H386" s="24"/>
      <c r="I386" s="36" t="s">
        <v>154</v>
      </c>
      <c r="J386" s="24"/>
      <c r="K386" s="24"/>
      <c r="L386" s="61"/>
      <c r="M386" s="24"/>
      <c r="N386" s="61"/>
      <c r="O386" s="24"/>
      <c r="P386" s="108"/>
    </row>
    <row r="387" spans="2:16" ht="16.5" customHeight="1" x14ac:dyDescent="0.2">
      <c r="B387" s="153"/>
      <c r="C387" s="24"/>
      <c r="D387" s="24"/>
      <c r="E387" s="24"/>
      <c r="F387" s="24"/>
      <c r="G387" s="24"/>
      <c r="H387" s="24"/>
      <c r="I387" s="36" t="s">
        <v>155</v>
      </c>
      <c r="J387" s="24"/>
      <c r="K387" s="24"/>
      <c r="L387" s="61"/>
      <c r="M387" s="24"/>
      <c r="N387" s="61"/>
      <c r="O387" s="24"/>
      <c r="P387" s="108"/>
    </row>
    <row r="388" spans="2:16" ht="16.5" customHeight="1" x14ac:dyDescent="0.2">
      <c r="B388" s="104"/>
      <c r="C388" s="24"/>
      <c r="D388" s="24"/>
      <c r="E388" s="24"/>
      <c r="F388" s="24"/>
      <c r="G388" s="24"/>
      <c r="H388" s="24"/>
      <c r="I388" s="36" t="s">
        <v>84</v>
      </c>
      <c r="J388" s="24"/>
      <c r="K388" s="24"/>
      <c r="L388" s="61"/>
      <c r="M388" s="24"/>
      <c r="N388" s="61"/>
      <c r="O388" s="24"/>
      <c r="P388" s="108"/>
    </row>
    <row r="389" spans="2:16" ht="16.5" customHeight="1" x14ac:dyDescent="0.2">
      <c r="B389" s="104"/>
      <c r="C389" s="24"/>
      <c r="D389" s="24"/>
      <c r="E389" s="24"/>
      <c r="F389" s="24"/>
      <c r="G389" s="24"/>
      <c r="H389" s="24"/>
      <c r="I389" s="36" t="s">
        <v>85</v>
      </c>
      <c r="J389" s="24"/>
      <c r="K389" s="24"/>
      <c r="L389" s="61"/>
      <c r="M389" s="24"/>
      <c r="N389" s="61"/>
      <c r="O389" s="24"/>
      <c r="P389" s="108"/>
    </row>
    <row r="390" spans="2:16" ht="16.5" customHeight="1" x14ac:dyDescent="0.2">
      <c r="B390" s="10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108"/>
    </row>
    <row r="391" spans="2:16" ht="16.5" customHeight="1" x14ac:dyDescent="0.2">
      <c r="B391" s="104"/>
      <c r="C391" s="24"/>
      <c r="D391" s="24"/>
      <c r="E391" s="24"/>
      <c r="F391" s="24"/>
      <c r="G391" s="24"/>
      <c r="H391" s="24"/>
      <c r="I391" s="78" t="s">
        <v>9</v>
      </c>
      <c r="J391" s="24"/>
      <c r="K391" s="24"/>
      <c r="L391" s="61"/>
      <c r="M391" s="24"/>
      <c r="N391" s="61"/>
      <c r="O391" s="24"/>
      <c r="P391" s="108"/>
    </row>
    <row r="392" spans="2:16" x14ac:dyDescent="0.2">
      <c r="B392" s="10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108"/>
    </row>
    <row r="393" spans="2:16" x14ac:dyDescent="0.2">
      <c r="B393" s="10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108"/>
    </row>
    <row r="394" spans="2:16" x14ac:dyDescent="0.2">
      <c r="B394" s="10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122" t="s">
        <v>360</v>
      </c>
      <c r="P394" s="108"/>
    </row>
    <row r="395" spans="2:16" ht="15" thickBot="1" x14ac:dyDescent="0.25">
      <c r="B395" s="145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23" t="s">
        <v>374</v>
      </c>
      <c r="P395" s="148"/>
    </row>
    <row r="397" spans="2:16" ht="15" thickBot="1" x14ac:dyDescent="0.25">
      <c r="B397" s="18"/>
    </row>
    <row r="398" spans="2:16" ht="11.25" customHeight="1" x14ac:dyDescent="0.2">
      <c r="B398" s="112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5"/>
      <c r="P398" s="119"/>
    </row>
    <row r="399" spans="2:16" ht="27" customHeight="1" x14ac:dyDescent="0.2">
      <c r="B399" s="113"/>
      <c r="C399" s="81" t="s">
        <v>456</v>
      </c>
      <c r="D399" s="81"/>
      <c r="E399" s="81"/>
      <c r="F399" s="81"/>
      <c r="G399" s="81"/>
      <c r="H399" s="81"/>
      <c r="I399" s="24"/>
      <c r="J399" s="24"/>
      <c r="K399" s="81" t="s">
        <v>357</v>
      </c>
      <c r="L399" s="81"/>
      <c r="M399" s="81"/>
      <c r="N399" s="252" t="s">
        <v>372</v>
      </c>
      <c r="O399" s="252"/>
      <c r="P399" s="120"/>
    </row>
    <row r="400" spans="2:16" ht="11.25" customHeight="1" x14ac:dyDescent="0.2">
      <c r="B400" s="113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7"/>
      <c r="P400" s="118"/>
    </row>
    <row r="401" spans="2:16" x14ac:dyDescent="0.2">
      <c r="B401" s="153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108"/>
    </row>
    <row r="402" spans="2:16" ht="15.75" x14ac:dyDescent="0.2">
      <c r="B402" s="104"/>
      <c r="C402" s="67" t="s">
        <v>88</v>
      </c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108"/>
    </row>
    <row r="403" spans="2:16" x14ac:dyDescent="0.2">
      <c r="B403" s="180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108"/>
    </row>
    <row r="404" spans="2:16" ht="15" customHeight="1" x14ac:dyDescent="0.2">
      <c r="B404" s="153"/>
      <c r="C404" s="199" t="s">
        <v>345</v>
      </c>
      <c r="D404" s="199"/>
      <c r="E404" s="199"/>
      <c r="F404" s="199"/>
      <c r="G404" s="24"/>
      <c r="H404" s="24"/>
      <c r="I404" s="24"/>
      <c r="J404" s="263" t="s">
        <v>12</v>
      </c>
      <c r="K404" s="263"/>
      <c r="L404" s="263"/>
      <c r="M404" s="263"/>
      <c r="N404" s="263"/>
      <c r="O404" s="24"/>
      <c r="P404" s="108"/>
    </row>
    <row r="405" spans="2:16" ht="15" customHeight="1" x14ac:dyDescent="0.2">
      <c r="B405" s="104"/>
      <c r="C405" s="199"/>
      <c r="D405" s="199"/>
      <c r="E405" s="199"/>
      <c r="F405" s="199"/>
      <c r="G405" s="24"/>
      <c r="H405" s="24"/>
      <c r="I405" s="24"/>
      <c r="J405" s="278" t="s">
        <v>89</v>
      </c>
      <c r="K405" s="211" t="s">
        <v>18</v>
      </c>
      <c r="L405" s="211" t="s">
        <v>19</v>
      </c>
      <c r="M405" s="211" t="s">
        <v>9</v>
      </c>
      <c r="N405" s="257" t="s">
        <v>120</v>
      </c>
      <c r="O405" s="24"/>
      <c r="P405" s="108"/>
    </row>
    <row r="406" spans="2:16" x14ac:dyDescent="0.2">
      <c r="B406" s="104"/>
      <c r="C406" s="199"/>
      <c r="D406" s="199"/>
      <c r="E406" s="199"/>
      <c r="F406" s="199"/>
      <c r="G406" s="24"/>
      <c r="H406" s="24"/>
      <c r="I406" s="24"/>
      <c r="J406" s="279"/>
      <c r="K406" s="212"/>
      <c r="L406" s="212"/>
      <c r="M406" s="212"/>
      <c r="N406" s="258"/>
      <c r="O406" s="24"/>
      <c r="P406" s="108"/>
    </row>
    <row r="407" spans="2:16" x14ac:dyDescent="0.2">
      <c r="B407" s="104"/>
      <c r="C407" s="199"/>
      <c r="D407" s="199"/>
      <c r="E407" s="199"/>
      <c r="F407" s="199"/>
      <c r="G407" s="24"/>
      <c r="H407" s="77" t="s">
        <v>157</v>
      </c>
      <c r="I407" s="24"/>
      <c r="J407" s="62" t="str">
        <f>IF($E$44="","",VLOOKUP($E$44,Base!$A$3:$GI$3,78,FALSE))</f>
        <v xml:space="preserve"> </v>
      </c>
      <c r="K407" s="62" t="str">
        <f>IF($E$44="","",VLOOKUP($E$44,Base!$A$3:$GI$3,79,FALSE))</f>
        <v xml:space="preserve"> </v>
      </c>
      <c r="L407" s="62" t="str">
        <f>IF($E$44="","",VLOOKUP($E$44,Base!$A$3:$GI$3,80,FALSE))</f>
        <v xml:space="preserve"> </v>
      </c>
      <c r="M407" s="62">
        <f>SUM(K407:L407)</f>
        <v>0</v>
      </c>
      <c r="N407" s="62" t="str">
        <f>IF($E$44="","",VLOOKUP($E$44,Base!$A$3:$GI$3,81,FALSE))</f>
        <v xml:space="preserve"> </v>
      </c>
      <c r="O407" s="24"/>
      <c r="P407" s="108"/>
    </row>
    <row r="408" spans="2:16" x14ac:dyDescent="0.2">
      <c r="B408" s="153"/>
      <c r="C408" s="24"/>
      <c r="D408" s="24"/>
      <c r="E408" s="24"/>
      <c r="F408" s="24"/>
      <c r="G408" s="24"/>
      <c r="H408" s="77" t="s">
        <v>156</v>
      </c>
      <c r="I408" s="24"/>
      <c r="J408" s="62" t="str">
        <f>IF($E$44="","",VLOOKUP($E$44,Base!$A$3:$GI$3,82,FALSE))</f>
        <v xml:space="preserve"> </v>
      </c>
      <c r="K408" s="62" t="str">
        <f>IF($E$44="","",VLOOKUP($E$44,Base!$A$3:$GI$3,83,FALSE))</f>
        <v xml:space="preserve"> </v>
      </c>
      <c r="L408" s="62" t="str">
        <f>IF($E$44="","",VLOOKUP($E$44,Base!$A$3:$GI$3,84,FALSE))</f>
        <v xml:space="preserve"> </v>
      </c>
      <c r="M408" s="62">
        <f t="shared" ref="M408:M411" si="1">SUM(K408:L408)</f>
        <v>0</v>
      </c>
      <c r="N408" s="62" t="str">
        <f>IF($E$44="","",VLOOKUP($E$44,Base!$A$3:$GI$3,85,FALSE))</f>
        <v xml:space="preserve"> </v>
      </c>
      <c r="O408" s="24"/>
      <c r="P408" s="108"/>
    </row>
    <row r="409" spans="2:16" x14ac:dyDescent="0.2">
      <c r="B409" s="153"/>
      <c r="C409" s="24"/>
      <c r="D409" s="24"/>
      <c r="E409" s="24"/>
      <c r="F409" s="24"/>
      <c r="G409" s="24"/>
      <c r="H409" s="88" t="s">
        <v>159</v>
      </c>
      <c r="I409" s="24"/>
      <c r="J409" s="62">
        <f>IF($E$44="","",VLOOKUP($E$44,Base!$A$3:$GI$3,86,FALSE))</f>
        <v>11</v>
      </c>
      <c r="K409" s="62">
        <f>IF($E$44="","",VLOOKUP($E$44,Base!$A$3:$GI$3,87,FALSE))</f>
        <v>91</v>
      </c>
      <c r="L409" s="62">
        <f>IF($E$44="","",VLOOKUP($E$44,Base!$A$3:$GI$3,88,FALSE))</f>
        <v>118</v>
      </c>
      <c r="M409" s="62">
        <f t="shared" si="1"/>
        <v>209</v>
      </c>
      <c r="N409" s="62" t="str">
        <f>IF($E$44="","",VLOOKUP($E$44,Base!$A$3:$GI$3,89,FALSE))</f>
        <v xml:space="preserve"> </v>
      </c>
      <c r="O409" s="24"/>
      <c r="P409" s="108"/>
    </row>
    <row r="410" spans="2:16" x14ac:dyDescent="0.2">
      <c r="B410" s="153"/>
      <c r="C410" s="24"/>
      <c r="D410" s="24"/>
      <c r="E410" s="24"/>
      <c r="F410" s="24"/>
      <c r="G410" s="24"/>
      <c r="H410" s="88" t="s">
        <v>158</v>
      </c>
      <c r="I410" s="24"/>
      <c r="J410" s="62" t="str">
        <f>IF($E$44="","",VLOOKUP($E$44,Base!$A$3:$GI$3,90,FALSE))</f>
        <v xml:space="preserve"> </v>
      </c>
      <c r="K410" s="62" t="str">
        <f>IF($E$44="","",VLOOKUP($E$44,Base!$A$3:$GI$3,91,FALSE))</f>
        <v xml:space="preserve"> </v>
      </c>
      <c r="L410" s="62" t="str">
        <f>IF($E$44="","",VLOOKUP($E$44,Base!$A$3:$GI$3,92,FALSE))</f>
        <v xml:space="preserve"> </v>
      </c>
      <c r="M410" s="62">
        <f t="shared" si="1"/>
        <v>0</v>
      </c>
      <c r="N410" s="62" t="str">
        <f>IF($E$44="","",VLOOKUP($E$44,Base!$A$3:$GI$3,93,FALSE))</f>
        <v xml:space="preserve"> </v>
      </c>
      <c r="O410" s="24"/>
      <c r="P410" s="108"/>
    </row>
    <row r="411" spans="2:16" ht="16.5" x14ac:dyDescent="0.2">
      <c r="B411" s="159"/>
      <c r="C411" s="24"/>
      <c r="D411" s="24"/>
      <c r="E411" s="24"/>
      <c r="F411" s="24"/>
      <c r="G411" s="24"/>
      <c r="H411" s="77" t="s">
        <v>26</v>
      </c>
      <c r="I411" s="24"/>
      <c r="J411" s="62" t="str">
        <f>IF($E$44="","",VLOOKUP($E$44,Base!$A$3:$GI$3,94,FALSE))</f>
        <v xml:space="preserve"> </v>
      </c>
      <c r="K411" s="62" t="str">
        <f>IF($E$44="","",VLOOKUP($E$44,Base!$A$3:$GI$3,95,FALSE))</f>
        <v xml:space="preserve"> </v>
      </c>
      <c r="L411" s="62" t="str">
        <f>IF($E$44="","",VLOOKUP($E$44,Base!$A$3:$GI$3,96,FALSE))</f>
        <v xml:space="preserve"> </v>
      </c>
      <c r="M411" s="62">
        <f t="shared" si="1"/>
        <v>0</v>
      </c>
      <c r="N411" s="62" t="str">
        <f>IF($E$44="","",VLOOKUP($E$44,Base!$A$3:$GI$3,97,FALSE))</f>
        <v xml:space="preserve"> </v>
      </c>
      <c r="O411" s="24"/>
      <c r="P411" s="108"/>
    </row>
    <row r="412" spans="2:16" x14ac:dyDescent="0.2">
      <c r="B412" s="10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108"/>
    </row>
    <row r="413" spans="2:16" x14ac:dyDescent="0.2">
      <c r="B413" s="104"/>
      <c r="C413" s="24"/>
      <c r="D413" s="24"/>
      <c r="E413" s="24"/>
      <c r="F413" s="24"/>
      <c r="G413" s="24"/>
      <c r="H413" s="69" t="s">
        <v>9</v>
      </c>
      <c r="I413" s="24"/>
      <c r="J413" s="62">
        <f>SUM(J407:J411)</f>
        <v>11</v>
      </c>
      <c r="K413" s="62">
        <f>SUM(K407:K411)</f>
        <v>91</v>
      </c>
      <c r="L413" s="62">
        <f>SUM(L407:L411)</f>
        <v>118</v>
      </c>
      <c r="M413" s="62">
        <f>SUM(M407:M411)</f>
        <v>209</v>
      </c>
      <c r="N413" s="62">
        <f>SUM(N407:N411)</f>
        <v>0</v>
      </c>
      <c r="O413" s="24"/>
      <c r="P413" s="108"/>
    </row>
    <row r="414" spans="2:16" x14ac:dyDescent="0.2">
      <c r="B414" s="153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108"/>
    </row>
    <row r="415" spans="2:16" x14ac:dyDescent="0.2">
      <c r="B415" s="153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108"/>
    </row>
    <row r="416" spans="2:16" ht="15.75" x14ac:dyDescent="0.2">
      <c r="B416" s="104"/>
      <c r="C416" s="67" t="s">
        <v>90</v>
      </c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108"/>
    </row>
    <row r="417" spans="2:16" ht="16.5" x14ac:dyDescent="0.2">
      <c r="B417" s="159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108"/>
    </row>
    <row r="418" spans="2:16" x14ac:dyDescent="0.2">
      <c r="B418" s="104"/>
      <c r="C418" s="199" t="s">
        <v>346</v>
      </c>
      <c r="D418" s="199"/>
      <c r="E418" s="199"/>
      <c r="F418" s="199"/>
      <c r="G418" s="24"/>
      <c r="H418" s="253" t="s">
        <v>51</v>
      </c>
      <c r="I418" s="24"/>
      <c r="J418" s="259" t="s">
        <v>91</v>
      </c>
      <c r="K418" s="259"/>
      <c r="L418" s="24"/>
      <c r="M418" s="24"/>
      <c r="N418" s="24"/>
      <c r="O418" s="24"/>
      <c r="P418" s="108"/>
    </row>
    <row r="419" spans="2:16" x14ac:dyDescent="0.2">
      <c r="B419" s="104"/>
      <c r="C419" s="199"/>
      <c r="D419" s="199"/>
      <c r="E419" s="199"/>
      <c r="F419" s="199"/>
      <c r="G419" s="24"/>
      <c r="H419" s="253"/>
      <c r="I419" s="24"/>
      <c r="J419" s="259"/>
      <c r="K419" s="259"/>
      <c r="L419" s="24"/>
      <c r="M419" s="24"/>
      <c r="N419" s="24"/>
      <c r="O419" s="24"/>
      <c r="P419" s="108"/>
    </row>
    <row r="420" spans="2:16" x14ac:dyDescent="0.2">
      <c r="B420" s="153"/>
      <c r="C420" s="24"/>
      <c r="D420" s="24"/>
      <c r="E420" s="24"/>
      <c r="F420" s="24"/>
      <c r="G420" s="24"/>
      <c r="H420" s="36" t="s">
        <v>160</v>
      </c>
      <c r="I420" s="24"/>
      <c r="J420" s="207" t="str">
        <f>IF($E$44="","",VLOOKUP($E$44,Base!$A$3:$GI$3,98,FALSE))</f>
        <v xml:space="preserve"> </v>
      </c>
      <c r="K420" s="208"/>
      <c r="L420" s="24"/>
      <c r="M420" s="24"/>
      <c r="N420" s="24"/>
      <c r="O420" s="24"/>
      <c r="P420" s="108"/>
    </row>
    <row r="421" spans="2:16" x14ac:dyDescent="0.2">
      <c r="B421" s="153"/>
      <c r="C421" s="24"/>
      <c r="D421" s="24"/>
      <c r="E421" s="24"/>
      <c r="F421" s="24"/>
      <c r="G421" s="24"/>
      <c r="H421" s="36" t="s">
        <v>54</v>
      </c>
      <c r="I421" s="24"/>
      <c r="J421" s="207" t="str">
        <f>IF($E$44="","",VLOOKUP($E$44,Base!$A$3:$GI$3,99,FALSE))</f>
        <v xml:space="preserve"> </v>
      </c>
      <c r="K421" s="208"/>
      <c r="L421" s="24"/>
      <c r="M421" s="24"/>
      <c r="N421" s="24"/>
      <c r="O421" s="24"/>
      <c r="P421" s="108"/>
    </row>
    <row r="422" spans="2:16" x14ac:dyDescent="0.2">
      <c r="B422" s="104"/>
      <c r="C422" s="24"/>
      <c r="D422" s="24"/>
      <c r="E422" s="24"/>
      <c r="F422" s="24"/>
      <c r="G422" s="24"/>
      <c r="H422" s="36" t="s">
        <v>52</v>
      </c>
      <c r="I422" s="24"/>
      <c r="J422" s="207" t="str">
        <f>IF($E$44="","",VLOOKUP($E$44,Base!$A$3:$GI$3,100,FALSE))</f>
        <v xml:space="preserve"> </v>
      </c>
      <c r="K422" s="208"/>
      <c r="L422" s="24"/>
      <c r="M422" s="24"/>
      <c r="N422" s="24"/>
      <c r="O422" s="24"/>
      <c r="P422" s="108"/>
    </row>
    <row r="423" spans="2:16" x14ac:dyDescent="0.2">
      <c r="B423" s="169"/>
      <c r="C423" s="24"/>
      <c r="D423" s="24"/>
      <c r="E423" s="24"/>
      <c r="F423" s="24"/>
      <c r="G423" s="24"/>
      <c r="H423" s="36" t="s">
        <v>161</v>
      </c>
      <c r="I423" s="24"/>
      <c r="J423" s="207" t="str">
        <f>IF($E$44="","",VLOOKUP($E$44,Base!$A$3:$GI$3,101,FALSE))</f>
        <v xml:space="preserve"> </v>
      </c>
      <c r="K423" s="208"/>
      <c r="L423" s="24"/>
      <c r="M423" s="24"/>
      <c r="N423" s="24"/>
      <c r="O423" s="24"/>
      <c r="P423" s="108"/>
    </row>
    <row r="424" spans="2:16" x14ac:dyDescent="0.2">
      <c r="B424" s="153"/>
      <c r="C424" s="24"/>
      <c r="D424" s="24"/>
      <c r="E424" s="24"/>
      <c r="F424" s="24"/>
      <c r="G424" s="24"/>
      <c r="H424" s="36" t="s">
        <v>162</v>
      </c>
      <c r="I424" s="24"/>
      <c r="J424" s="207" t="str">
        <f>IF($E$44="","",VLOOKUP($E$44,Base!$A$3:$GI$3,102,FALSE))</f>
        <v xml:space="preserve"> </v>
      </c>
      <c r="K424" s="208"/>
      <c r="L424" s="24"/>
      <c r="M424" s="24"/>
      <c r="N424" s="24"/>
      <c r="O424" s="24"/>
      <c r="P424" s="108"/>
    </row>
    <row r="425" spans="2:16" x14ac:dyDescent="0.2">
      <c r="B425" s="104"/>
      <c r="C425" s="24"/>
      <c r="D425" s="24"/>
      <c r="E425" s="24"/>
      <c r="F425" s="24"/>
      <c r="G425" s="24"/>
      <c r="H425" s="36" t="s">
        <v>85</v>
      </c>
      <c r="I425" s="24"/>
      <c r="J425" s="207" t="str">
        <f>IF($E$44="","",VLOOKUP($E$44,Base!$A$3:$GI$3,103,FALSE))</f>
        <v xml:space="preserve"> </v>
      </c>
      <c r="K425" s="208"/>
      <c r="L425" s="24"/>
      <c r="M425" s="24"/>
      <c r="N425" s="24"/>
      <c r="O425" s="24"/>
      <c r="P425" s="108"/>
    </row>
    <row r="426" spans="2:16" x14ac:dyDescent="0.2">
      <c r="B426" s="10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108"/>
    </row>
    <row r="427" spans="2:16" x14ac:dyDescent="0.2">
      <c r="B427" s="104"/>
      <c r="C427" s="24"/>
      <c r="D427" s="24"/>
      <c r="E427" s="24"/>
      <c r="F427" s="24"/>
      <c r="G427" s="24"/>
      <c r="H427" s="36" t="s">
        <v>92</v>
      </c>
      <c r="I427" s="24"/>
      <c r="J427" s="89" t="str">
        <f>IF($E$44="","",VLOOKUP($E$44,Base!$A$3:$GI$3,104,FALSE))</f>
        <v xml:space="preserve"> </v>
      </c>
      <c r="K427" s="44"/>
      <c r="L427" s="42"/>
      <c r="M427" s="42"/>
      <c r="N427" s="24"/>
      <c r="O427" s="24"/>
      <c r="P427" s="108"/>
    </row>
    <row r="428" spans="2:16" x14ac:dyDescent="0.2">
      <c r="B428" s="153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108"/>
    </row>
    <row r="429" spans="2:16" x14ac:dyDescent="0.2">
      <c r="B429" s="153"/>
      <c r="C429" s="24"/>
      <c r="D429" s="24"/>
      <c r="E429" s="24"/>
      <c r="F429" s="24"/>
      <c r="G429" s="24"/>
      <c r="H429" s="78" t="s">
        <v>9</v>
      </c>
      <c r="I429" s="24"/>
      <c r="J429" s="207">
        <f>SUM(J420:J425)</f>
        <v>0</v>
      </c>
      <c r="K429" s="208"/>
      <c r="L429" s="24"/>
      <c r="M429" s="24"/>
      <c r="N429" s="24"/>
      <c r="O429" s="24"/>
      <c r="P429" s="108"/>
    </row>
    <row r="430" spans="2:16" x14ac:dyDescent="0.2">
      <c r="B430" s="10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108"/>
    </row>
    <row r="431" spans="2:16" x14ac:dyDescent="0.2">
      <c r="B431" s="10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122" t="s">
        <v>365</v>
      </c>
      <c r="P431" s="108"/>
    </row>
    <row r="432" spans="2:16" ht="15" thickBot="1" x14ac:dyDescent="0.25">
      <c r="B432" s="145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23" t="s">
        <v>374</v>
      </c>
      <c r="P432" s="148"/>
    </row>
    <row r="433" spans="2:16" x14ac:dyDescent="0.2">
      <c r="B433" s="90"/>
    </row>
    <row r="434" spans="2:16" ht="15" thickBot="1" x14ac:dyDescent="0.25">
      <c r="B434" s="91"/>
    </row>
    <row r="435" spans="2:16" ht="10.5" customHeight="1" x14ac:dyDescent="0.2">
      <c r="B435" s="112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5"/>
      <c r="P435" s="119"/>
    </row>
    <row r="436" spans="2:16" ht="27" customHeight="1" x14ac:dyDescent="0.2">
      <c r="B436" s="113"/>
      <c r="C436" s="81" t="s">
        <v>456</v>
      </c>
      <c r="D436" s="81"/>
      <c r="E436" s="81"/>
      <c r="F436" s="81"/>
      <c r="G436" s="81"/>
      <c r="H436" s="81"/>
      <c r="I436" s="24"/>
      <c r="J436" s="24"/>
      <c r="K436" s="81" t="s">
        <v>357</v>
      </c>
      <c r="L436" s="81"/>
      <c r="M436" s="81"/>
      <c r="N436" s="252" t="s">
        <v>372</v>
      </c>
      <c r="O436" s="252"/>
      <c r="P436" s="120"/>
    </row>
    <row r="437" spans="2:16" ht="9" customHeight="1" x14ac:dyDescent="0.2">
      <c r="B437" s="113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7"/>
      <c r="P437" s="118"/>
    </row>
    <row r="438" spans="2:16" ht="15.75" x14ac:dyDescent="0.2">
      <c r="B438" s="181"/>
      <c r="C438" s="134"/>
      <c r="D438" s="134"/>
      <c r="E438" s="134"/>
      <c r="F438" s="134"/>
      <c r="G438" s="24"/>
      <c r="H438" s="24"/>
      <c r="I438" s="24"/>
      <c r="J438" s="24"/>
      <c r="K438" s="24"/>
      <c r="L438" s="24"/>
      <c r="M438" s="24"/>
      <c r="N438" s="24"/>
      <c r="O438" s="124"/>
      <c r="P438" s="108"/>
    </row>
    <row r="439" spans="2:16" ht="14.25" customHeight="1" x14ac:dyDescent="0.2">
      <c r="B439" s="104"/>
      <c r="C439" s="134" t="s">
        <v>93</v>
      </c>
      <c r="D439" s="134"/>
      <c r="E439" s="134"/>
      <c r="F439" s="134"/>
      <c r="G439" s="24"/>
      <c r="H439" s="24"/>
      <c r="I439" s="24"/>
      <c r="J439" s="24"/>
      <c r="K439" s="24"/>
      <c r="L439" s="24"/>
      <c r="M439" s="24"/>
      <c r="N439" s="24"/>
      <c r="O439" s="60"/>
      <c r="P439" s="108"/>
    </row>
    <row r="440" spans="2:16" ht="7.5" customHeight="1" x14ac:dyDescent="0.2">
      <c r="B440" s="104"/>
      <c r="C440" s="92"/>
      <c r="D440" s="92"/>
      <c r="E440" s="92"/>
      <c r="F440" s="92"/>
      <c r="G440" s="24"/>
      <c r="H440" s="24"/>
      <c r="I440" s="24"/>
      <c r="J440" s="24"/>
      <c r="K440" s="24"/>
      <c r="L440" s="24"/>
      <c r="M440" s="24"/>
      <c r="N440" s="24"/>
      <c r="O440" s="60"/>
      <c r="P440" s="108"/>
    </row>
    <row r="441" spans="2:16" ht="15.75" x14ac:dyDescent="0.2">
      <c r="B441" s="153"/>
      <c r="C441" s="92"/>
      <c r="D441" s="92"/>
      <c r="E441" s="92"/>
      <c r="F441" s="92"/>
      <c r="G441" s="24"/>
      <c r="H441" s="24"/>
      <c r="I441" s="24"/>
      <c r="J441" s="24"/>
      <c r="K441" s="254" t="s">
        <v>12</v>
      </c>
      <c r="L441" s="254"/>
      <c r="M441" s="254"/>
      <c r="N441" s="254"/>
      <c r="O441" s="69"/>
      <c r="P441" s="108"/>
    </row>
    <row r="442" spans="2:16" ht="15.75" customHeight="1" x14ac:dyDescent="0.2">
      <c r="B442" s="104"/>
      <c r="C442" s="199" t="s">
        <v>347</v>
      </c>
      <c r="D442" s="199"/>
      <c r="E442" s="199"/>
      <c r="F442" s="199"/>
      <c r="G442" s="24"/>
      <c r="H442" s="24"/>
      <c r="I442" s="24"/>
      <c r="J442" s="24"/>
      <c r="K442" s="211" t="s">
        <v>18</v>
      </c>
      <c r="L442" s="211" t="s">
        <v>19</v>
      </c>
      <c r="M442" s="211" t="s">
        <v>9</v>
      </c>
      <c r="N442" s="257" t="s">
        <v>120</v>
      </c>
      <c r="O442" s="24"/>
      <c r="P442" s="108"/>
    </row>
    <row r="443" spans="2:16" ht="15" customHeight="1" x14ac:dyDescent="0.2">
      <c r="B443" s="104"/>
      <c r="C443" s="199"/>
      <c r="D443" s="199"/>
      <c r="E443" s="199"/>
      <c r="F443" s="199"/>
      <c r="G443" s="24"/>
      <c r="H443" s="37" t="s">
        <v>94</v>
      </c>
      <c r="I443" s="24"/>
      <c r="J443" s="24"/>
      <c r="K443" s="212"/>
      <c r="L443" s="212"/>
      <c r="M443" s="212"/>
      <c r="N443" s="258"/>
      <c r="O443" s="24"/>
      <c r="P443" s="108"/>
    </row>
    <row r="444" spans="2:16" x14ac:dyDescent="0.2">
      <c r="B444" s="154"/>
      <c r="C444" s="199"/>
      <c r="D444" s="199"/>
      <c r="E444" s="199"/>
      <c r="F444" s="199"/>
      <c r="G444" s="24"/>
      <c r="H444" s="36" t="s">
        <v>164</v>
      </c>
      <c r="I444" s="24"/>
      <c r="J444" s="24"/>
      <c r="K444" s="62">
        <f>IF($E$44="","",VLOOKUP($E$44,Base!$A$3:$GI$3,105,FALSE))</f>
        <v>86</v>
      </c>
      <c r="L444" s="62">
        <f>IF($E$44="","",VLOOKUP($E$44,Base!$A$3:$GI$3,106,FALSE))</f>
        <v>122</v>
      </c>
      <c r="M444" s="62">
        <f>SUM(K444:L444)</f>
        <v>208</v>
      </c>
      <c r="N444" s="62" t="str">
        <f>IF($E$44="","",VLOOKUP($E$44,Base!$A$3:$GI$3,107,FALSE))</f>
        <v xml:space="preserve"> </v>
      </c>
      <c r="O444" s="24"/>
      <c r="P444" s="108"/>
    </row>
    <row r="445" spans="2:16" x14ac:dyDescent="0.2">
      <c r="B445" s="153"/>
      <c r="C445" s="199"/>
      <c r="D445" s="199"/>
      <c r="E445" s="199"/>
      <c r="F445" s="199"/>
      <c r="G445" s="24"/>
      <c r="H445" s="36" t="s">
        <v>163</v>
      </c>
      <c r="I445" s="24"/>
      <c r="J445" s="24"/>
      <c r="K445" s="62">
        <f>IF($E$44="","",VLOOKUP($E$44,Base!$A$3:$GI$3,108,FALSE))</f>
        <v>127</v>
      </c>
      <c r="L445" s="62">
        <f>IF($E$44="","",VLOOKUP($E$44,Base!$A$3:$GI$3,109,FALSE))</f>
        <v>114</v>
      </c>
      <c r="M445" s="62">
        <f t="shared" ref="M445:M447" si="2">SUM(K445:L445)</f>
        <v>241</v>
      </c>
      <c r="N445" s="62">
        <f>IF($E$44="","",VLOOKUP($E$44,Base!$A$3:$GI$3,110,FALSE))</f>
        <v>0</v>
      </c>
      <c r="O445" s="24"/>
      <c r="P445" s="108"/>
    </row>
    <row r="446" spans="2:16" x14ac:dyDescent="0.2">
      <c r="B446" s="153"/>
      <c r="C446" s="125"/>
      <c r="D446" s="125"/>
      <c r="E446" s="125"/>
      <c r="F446" s="125"/>
      <c r="G446" s="24"/>
      <c r="H446" s="36" t="s">
        <v>95</v>
      </c>
      <c r="I446" s="24"/>
      <c r="J446" s="24"/>
      <c r="K446" s="62">
        <f>IF($E$44="","",VLOOKUP($E$44,Base!$A$3:$GI$3,111,FALSE))</f>
        <v>32</v>
      </c>
      <c r="L446" s="62">
        <f>IF($E$44="","",VLOOKUP($E$44,Base!$A$3:$GI$3,112,FALSE))</f>
        <v>21</v>
      </c>
      <c r="M446" s="62">
        <f t="shared" si="2"/>
        <v>53</v>
      </c>
      <c r="N446" s="62" t="str">
        <f>IF($E$44="","",VLOOKUP($E$44,Base!$A$3:$GI$3,113,FALSE))</f>
        <v xml:space="preserve"> </v>
      </c>
      <c r="O446" s="24"/>
      <c r="P446" s="108"/>
    </row>
    <row r="447" spans="2:16" x14ac:dyDescent="0.2">
      <c r="B447" s="104"/>
      <c r="C447" s="125"/>
      <c r="D447" s="125"/>
      <c r="E447" s="125"/>
      <c r="F447" s="125"/>
      <c r="G447" s="24"/>
      <c r="H447" s="36" t="s">
        <v>96</v>
      </c>
      <c r="I447" s="24"/>
      <c r="J447" s="24"/>
      <c r="K447" s="62">
        <f>IF($E$44="","",VLOOKUP($E$44,Base!$A$3:$GI$3,114,FALSE))</f>
        <v>88</v>
      </c>
      <c r="L447" s="62">
        <f>IF($E$44="","",VLOOKUP($E$44,Base!$A$3:$GI$3,115,FALSE))</f>
        <v>69</v>
      </c>
      <c r="M447" s="62">
        <f t="shared" si="2"/>
        <v>157</v>
      </c>
      <c r="N447" s="62" t="str">
        <f>IF($E$44="","",VLOOKUP($E$44,Base!$A$3:$GI$3,116,FALSE))</f>
        <v xml:space="preserve"> </v>
      </c>
      <c r="O447" s="24"/>
      <c r="P447" s="108"/>
    </row>
    <row r="448" spans="2:16" ht="8.25" customHeight="1" x14ac:dyDescent="0.2">
      <c r="B448" s="182"/>
      <c r="C448" s="125"/>
      <c r="D448" s="125"/>
      <c r="E448" s="125"/>
      <c r="F448" s="125"/>
      <c r="G448" s="24"/>
      <c r="H448" s="46"/>
      <c r="I448" s="24"/>
      <c r="J448" s="24"/>
      <c r="K448" s="24"/>
      <c r="L448" s="24"/>
      <c r="M448" s="24"/>
      <c r="N448" s="24"/>
      <c r="O448" s="24"/>
      <c r="P448" s="108"/>
    </row>
    <row r="449" spans="2:16" x14ac:dyDescent="0.2">
      <c r="B449" s="104"/>
      <c r="C449" s="125"/>
      <c r="D449" s="125"/>
      <c r="E449" s="125"/>
      <c r="F449" s="125"/>
      <c r="G449" s="24"/>
      <c r="H449" s="37" t="s">
        <v>9</v>
      </c>
      <c r="I449" s="24"/>
      <c r="J449" s="24"/>
      <c r="K449" s="62">
        <f>SUM(K444:K447)</f>
        <v>333</v>
      </c>
      <c r="L449" s="62">
        <f>SUM(L444:L447)</f>
        <v>326</v>
      </c>
      <c r="M449" s="62">
        <f>SUM(M444:M447)</f>
        <v>659</v>
      </c>
      <c r="N449" s="62">
        <f>SUM(N444:N447)</f>
        <v>0</v>
      </c>
      <c r="O449" s="24"/>
      <c r="P449" s="108"/>
    </row>
    <row r="450" spans="2:16" ht="9" customHeight="1" x14ac:dyDescent="0.2">
      <c r="B450" s="104"/>
      <c r="C450" s="125"/>
      <c r="D450" s="125"/>
      <c r="E450" s="125"/>
      <c r="F450" s="125"/>
      <c r="G450" s="24"/>
      <c r="H450" s="24"/>
      <c r="I450" s="24"/>
      <c r="J450" s="24"/>
      <c r="K450" s="24"/>
      <c r="L450" s="24"/>
      <c r="M450" s="24"/>
      <c r="N450" s="24"/>
      <c r="O450" s="24"/>
      <c r="P450" s="108"/>
    </row>
    <row r="451" spans="2:16" x14ac:dyDescent="0.2">
      <c r="B451" s="104"/>
      <c r="C451" s="199" t="s">
        <v>348</v>
      </c>
      <c r="D451" s="199"/>
      <c r="E451" s="199"/>
      <c r="F451" s="199"/>
      <c r="G451" s="24"/>
      <c r="H451" s="36" t="s">
        <v>164</v>
      </c>
      <c r="I451" s="24"/>
      <c r="J451" s="24"/>
      <c r="K451" s="62">
        <f>IF($E$44="","",VLOOKUP($E$44,Base!$A$3:$GI$3,117,FALSE))</f>
        <v>29</v>
      </c>
      <c r="L451" s="62">
        <f>IF($E$44="","",VLOOKUP($E$44,Base!$A$3:$GI$3,118,FALSE))</f>
        <v>22</v>
      </c>
      <c r="M451" s="62">
        <f t="shared" ref="M451:M454" si="3">SUM(K451:L451)</f>
        <v>51</v>
      </c>
      <c r="N451" s="62" t="str">
        <f>IF($E$44="","",VLOOKUP($E$44,Base!$A$3:$GI$3,119,FALSE))</f>
        <v xml:space="preserve"> </v>
      </c>
      <c r="O451" s="24"/>
      <c r="P451" s="108"/>
    </row>
    <row r="452" spans="2:16" x14ac:dyDescent="0.2">
      <c r="B452" s="104"/>
      <c r="C452" s="199"/>
      <c r="D452" s="199"/>
      <c r="E452" s="199"/>
      <c r="F452" s="199"/>
      <c r="G452" s="24"/>
      <c r="H452" s="36" t="s">
        <v>163</v>
      </c>
      <c r="I452" s="24"/>
      <c r="J452" s="24"/>
      <c r="K452" s="62">
        <f>IF($E$44="","",VLOOKUP($E$44,Base!$A$3:$GI$3,120,FALSE))</f>
        <v>37</v>
      </c>
      <c r="L452" s="62">
        <f>IF($E$44="","",VLOOKUP($E$44,Base!$A$3:$GI$3,121,FALSE))</f>
        <v>51</v>
      </c>
      <c r="M452" s="62">
        <f t="shared" si="3"/>
        <v>88</v>
      </c>
      <c r="N452" s="62" t="str">
        <f>IF($E$44="","",VLOOKUP($E$44,Base!$A$3:$GI$3,122,FALSE))</f>
        <v xml:space="preserve"> </v>
      </c>
      <c r="O452" s="24"/>
      <c r="P452" s="108"/>
    </row>
    <row r="453" spans="2:16" x14ac:dyDescent="0.2">
      <c r="B453" s="153"/>
      <c r="C453" s="199"/>
      <c r="D453" s="199"/>
      <c r="E453" s="199"/>
      <c r="F453" s="199"/>
      <c r="G453" s="24"/>
      <c r="H453" s="36" t="s">
        <v>95</v>
      </c>
      <c r="I453" s="24"/>
      <c r="J453" s="24"/>
      <c r="K453" s="62">
        <f>IF($E$44="","",VLOOKUP($E$44,Base!$A$3:$GI$3,123,FALSE))</f>
        <v>64</v>
      </c>
      <c r="L453" s="62">
        <f>IF($E$44="","",VLOOKUP($E$44,Base!$A$3:$GI$3,124,FALSE))</f>
        <v>82</v>
      </c>
      <c r="M453" s="62">
        <f t="shared" si="3"/>
        <v>146</v>
      </c>
      <c r="N453" s="62" t="str">
        <f>IF($E$44="","",VLOOKUP($E$44,Base!$A$3:$GI$3,125,FALSE))</f>
        <v xml:space="preserve"> </v>
      </c>
      <c r="O453" s="24"/>
      <c r="P453" s="108"/>
    </row>
    <row r="454" spans="2:16" x14ac:dyDescent="0.2">
      <c r="B454" s="153"/>
      <c r="C454" s="199"/>
      <c r="D454" s="199"/>
      <c r="E454" s="199"/>
      <c r="F454" s="199"/>
      <c r="G454" s="24"/>
      <c r="H454" s="36" t="s">
        <v>96</v>
      </c>
      <c r="I454" s="24"/>
      <c r="J454" s="24"/>
      <c r="K454" s="62">
        <f>IF($E$44="","",VLOOKUP($E$44,Base!$A$3:$GI$3,126,FALSE))</f>
        <v>1</v>
      </c>
      <c r="L454" s="62">
        <f>IF($E$44="","",VLOOKUP($E$44,Base!$A$3:$GI$3,127,FALSE))</f>
        <v>0</v>
      </c>
      <c r="M454" s="62">
        <f t="shared" si="3"/>
        <v>1</v>
      </c>
      <c r="N454" s="62" t="str">
        <f>IF($E$44="","",VLOOKUP($E$44,Base!$A$3:$GI$3,128,FALSE))</f>
        <v xml:space="preserve"> </v>
      </c>
      <c r="O454" s="24"/>
      <c r="P454" s="108"/>
    </row>
    <row r="455" spans="2:16" ht="6.75" customHeight="1" x14ac:dyDescent="0.2">
      <c r="B455" s="153"/>
      <c r="C455" s="125"/>
      <c r="D455" s="125"/>
      <c r="E455" s="125"/>
      <c r="F455" s="125"/>
      <c r="G455" s="24"/>
      <c r="H455" s="24"/>
      <c r="I455" s="24"/>
      <c r="J455" s="24"/>
      <c r="K455" s="24"/>
      <c r="L455" s="24"/>
      <c r="M455" s="24"/>
      <c r="N455" s="24"/>
      <c r="O455" s="24"/>
      <c r="P455" s="108"/>
    </row>
    <row r="456" spans="2:16" x14ac:dyDescent="0.2">
      <c r="B456" s="153"/>
      <c r="C456" s="125"/>
      <c r="D456" s="125"/>
      <c r="E456" s="125"/>
      <c r="F456" s="125"/>
      <c r="G456" s="24"/>
      <c r="H456" s="37" t="s">
        <v>9</v>
      </c>
      <c r="I456" s="24"/>
      <c r="J456" s="24"/>
      <c r="K456" s="62">
        <f>SUM(K451:K454)</f>
        <v>131</v>
      </c>
      <c r="L456" s="62">
        <f>SUM(L451:L454)</f>
        <v>155</v>
      </c>
      <c r="M456" s="62">
        <f>SUM(M451:M454)</f>
        <v>286</v>
      </c>
      <c r="N456" s="62">
        <f>SUM(N451:N454)</f>
        <v>0</v>
      </c>
      <c r="O456" s="24"/>
      <c r="P456" s="108"/>
    </row>
    <row r="457" spans="2:16" ht="8.25" customHeight="1" x14ac:dyDescent="0.2">
      <c r="B457" s="104"/>
      <c r="C457" s="125"/>
      <c r="D457" s="125"/>
      <c r="E457" s="125"/>
      <c r="F457" s="125"/>
      <c r="G457" s="24"/>
      <c r="H457" s="24"/>
      <c r="I457" s="24"/>
      <c r="J457" s="24"/>
      <c r="K457" s="24"/>
      <c r="L457" s="24"/>
      <c r="M457" s="24"/>
      <c r="N457" s="24"/>
      <c r="O457" s="24"/>
      <c r="P457" s="108"/>
    </row>
    <row r="458" spans="2:16" x14ac:dyDescent="0.2">
      <c r="B458" s="104"/>
      <c r="C458" s="125"/>
      <c r="D458" s="125"/>
      <c r="E458" s="125"/>
      <c r="F458" s="125"/>
      <c r="G458" s="24"/>
      <c r="H458" s="24"/>
      <c r="I458" s="24"/>
      <c r="J458" s="24"/>
      <c r="K458" s="254" t="s">
        <v>12</v>
      </c>
      <c r="L458" s="254"/>
      <c r="M458" s="254"/>
      <c r="N458" s="254"/>
      <c r="O458" s="24"/>
      <c r="P458" s="108"/>
    </row>
    <row r="459" spans="2:16" x14ac:dyDescent="0.2">
      <c r="B459" s="104"/>
      <c r="C459" s="206" t="s">
        <v>98</v>
      </c>
      <c r="D459" s="206"/>
      <c r="E459" s="206"/>
      <c r="F459" s="206"/>
      <c r="G459" s="24"/>
      <c r="H459" s="24"/>
      <c r="I459" s="262" t="s">
        <v>99</v>
      </c>
      <c r="J459" s="262"/>
      <c r="K459" s="205" t="s">
        <v>97</v>
      </c>
      <c r="L459" s="24"/>
      <c r="M459" s="259" t="s">
        <v>168</v>
      </c>
      <c r="N459" s="259"/>
      <c r="O459" s="24"/>
      <c r="P459" s="108"/>
    </row>
    <row r="460" spans="2:16" x14ac:dyDescent="0.2">
      <c r="B460" s="104"/>
      <c r="C460" s="206"/>
      <c r="D460" s="206"/>
      <c r="E460" s="206"/>
      <c r="F460" s="206"/>
      <c r="G460" s="24"/>
      <c r="H460" s="24"/>
      <c r="I460" s="262"/>
      <c r="J460" s="262"/>
      <c r="K460" s="205"/>
      <c r="L460" s="24"/>
      <c r="M460" s="259"/>
      <c r="N460" s="259"/>
      <c r="O460" s="24"/>
      <c r="P460" s="108"/>
    </row>
    <row r="461" spans="2:16" x14ac:dyDescent="0.2">
      <c r="B461" s="104"/>
      <c r="C461" s="206"/>
      <c r="D461" s="206"/>
      <c r="E461" s="206"/>
      <c r="F461" s="206"/>
      <c r="G461" s="24"/>
      <c r="H461" s="24"/>
      <c r="I461" s="77" t="s">
        <v>104</v>
      </c>
      <c r="J461" s="24"/>
      <c r="K461" s="62">
        <f>IF($E$44="","",VLOOKUP($E$44,Base!$A$3:$GI$3,129,FALSE))</f>
        <v>0</v>
      </c>
      <c r="L461" s="24"/>
      <c r="M461" s="207">
        <f>IF($E$44="","",VLOOKUP($E$44,Base!$A$3:$GI$3,132,FALSE))</f>
        <v>0</v>
      </c>
      <c r="N461" s="208"/>
      <c r="O461" s="24"/>
      <c r="P461" s="108"/>
    </row>
    <row r="462" spans="2:16" x14ac:dyDescent="0.2">
      <c r="B462" s="104"/>
      <c r="C462" s="135"/>
      <c r="D462" s="125"/>
      <c r="E462" s="125"/>
      <c r="F462" s="125"/>
      <c r="G462" s="24"/>
      <c r="H462" s="24"/>
      <c r="I462" s="77" t="s">
        <v>165</v>
      </c>
      <c r="J462" s="24"/>
      <c r="K462" s="62">
        <f>IF($E$44="","",VLOOKUP($E$44,Base!$A$3:$GI$3,130,FALSE))</f>
        <v>28</v>
      </c>
      <c r="L462" s="24"/>
      <c r="M462" s="207">
        <f>IF($E$44="","",VLOOKUP($E$44,Base!$A$3:$GI$3,133,FALSE))</f>
        <v>0</v>
      </c>
      <c r="N462" s="208"/>
      <c r="O462" s="24"/>
      <c r="P462" s="108"/>
    </row>
    <row r="463" spans="2:16" x14ac:dyDescent="0.2">
      <c r="B463" s="104"/>
      <c r="C463" s="125"/>
      <c r="D463" s="125"/>
      <c r="E463" s="125"/>
      <c r="F463" s="125"/>
      <c r="G463" s="24"/>
      <c r="H463" s="24"/>
      <c r="I463" s="77" t="s">
        <v>166</v>
      </c>
      <c r="J463" s="24"/>
      <c r="K463" s="62">
        <f>IF($E$44="","",VLOOKUP($E$44,Base!$A$3:$GI$3,131,FALSE))</f>
        <v>0</v>
      </c>
      <c r="L463" s="24"/>
      <c r="M463" s="207">
        <f>IF($E$44="","",VLOOKUP($E$44,Base!$A$3:$GI$3,134,FALSE))</f>
        <v>0</v>
      </c>
      <c r="N463" s="208"/>
      <c r="O463" s="24"/>
      <c r="P463" s="108"/>
    </row>
    <row r="464" spans="2:16" ht="6.75" customHeight="1" x14ac:dyDescent="0.2">
      <c r="B464" s="104"/>
      <c r="C464" s="125"/>
      <c r="D464" s="125"/>
      <c r="E464" s="125"/>
      <c r="F464" s="125"/>
      <c r="G464" s="24"/>
      <c r="H464" s="24"/>
      <c r="I464" s="24"/>
      <c r="J464" s="24"/>
      <c r="K464" s="24"/>
      <c r="L464" s="24"/>
      <c r="M464" s="24"/>
      <c r="N464" s="24"/>
      <c r="O464" s="24"/>
      <c r="P464" s="108"/>
    </row>
    <row r="465" spans="2:16" x14ac:dyDescent="0.2">
      <c r="B465" s="156"/>
      <c r="C465" s="125"/>
      <c r="D465" s="125"/>
      <c r="E465" s="125"/>
      <c r="F465" s="125"/>
      <c r="G465" s="24"/>
      <c r="H465" s="24"/>
      <c r="I465" s="69" t="s">
        <v>9</v>
      </c>
      <c r="J465" s="24"/>
      <c r="K465" s="62">
        <f>SUM(K461:K464)</f>
        <v>28</v>
      </c>
      <c r="L465" s="24"/>
      <c r="M465" s="207">
        <f>SUM(M461:M464)</f>
        <v>0</v>
      </c>
      <c r="N465" s="208"/>
      <c r="O465" s="24"/>
      <c r="P465" s="108"/>
    </row>
    <row r="466" spans="2:16" ht="9.75" customHeight="1" x14ac:dyDescent="0.2">
      <c r="B466" s="104"/>
      <c r="C466" s="125"/>
      <c r="D466" s="125"/>
      <c r="E466" s="125"/>
      <c r="F466" s="125"/>
      <c r="G466" s="24"/>
      <c r="H466" s="24"/>
      <c r="I466" s="24"/>
      <c r="J466" s="24"/>
      <c r="K466" s="24"/>
      <c r="L466" s="24"/>
      <c r="M466" s="24"/>
      <c r="N466" s="24"/>
      <c r="O466" s="24"/>
      <c r="P466" s="108"/>
    </row>
    <row r="467" spans="2:16" x14ac:dyDescent="0.2">
      <c r="B467" s="104"/>
      <c r="C467" s="206" t="s">
        <v>101</v>
      </c>
      <c r="D467" s="206"/>
      <c r="E467" s="206"/>
      <c r="F467" s="206"/>
      <c r="G467" s="24"/>
      <c r="H467" s="24"/>
      <c r="I467" s="24"/>
      <c r="J467" s="24"/>
      <c r="K467" s="254" t="s">
        <v>12</v>
      </c>
      <c r="L467" s="254"/>
      <c r="M467" s="254"/>
      <c r="N467" s="254"/>
      <c r="O467" s="24"/>
      <c r="P467" s="108"/>
    </row>
    <row r="468" spans="2:16" x14ac:dyDescent="0.2">
      <c r="B468" s="160"/>
      <c r="C468" s="206"/>
      <c r="D468" s="206"/>
      <c r="E468" s="206"/>
      <c r="F468" s="206"/>
      <c r="G468" s="24"/>
      <c r="H468" s="24"/>
      <c r="I468" s="262" t="s">
        <v>99</v>
      </c>
      <c r="J468" s="262"/>
      <c r="K468" s="205" t="s">
        <v>100</v>
      </c>
      <c r="L468" s="24"/>
      <c r="M468" s="259" t="s">
        <v>167</v>
      </c>
      <c r="N468" s="259"/>
      <c r="O468" s="24"/>
      <c r="P468" s="108"/>
    </row>
    <row r="469" spans="2:16" x14ac:dyDescent="0.2">
      <c r="B469" s="156"/>
      <c r="C469" s="206"/>
      <c r="D469" s="206"/>
      <c r="E469" s="206"/>
      <c r="F469" s="206"/>
      <c r="G469" s="24"/>
      <c r="H469" s="24"/>
      <c r="I469" s="262"/>
      <c r="J469" s="262"/>
      <c r="K469" s="205"/>
      <c r="L469" s="24"/>
      <c r="M469" s="259"/>
      <c r="N469" s="259"/>
      <c r="O469" s="24"/>
      <c r="P469" s="108"/>
    </row>
    <row r="470" spans="2:16" x14ac:dyDescent="0.2">
      <c r="B470" s="183"/>
      <c r="C470" s="206"/>
      <c r="D470" s="206"/>
      <c r="E470" s="206"/>
      <c r="F470" s="206"/>
      <c r="G470" s="24"/>
      <c r="H470" s="24"/>
      <c r="I470" s="77" t="s">
        <v>104</v>
      </c>
      <c r="J470" s="24"/>
      <c r="K470" s="62">
        <f>IF($E$44="","",VLOOKUP($E$44,Base!$A$3:$GI$3,135,FALSE))</f>
        <v>0</v>
      </c>
      <c r="L470" s="24"/>
      <c r="M470" s="207">
        <f>IF($E$44="","",VLOOKUP($E$44,Base!$A$3:$GI$3,138,FALSE))</f>
        <v>0</v>
      </c>
      <c r="N470" s="208"/>
      <c r="O470" s="24"/>
      <c r="P470" s="108"/>
    </row>
    <row r="471" spans="2:16" x14ac:dyDescent="0.2">
      <c r="B471" s="160"/>
      <c r="C471" s="125"/>
      <c r="D471" s="125"/>
      <c r="E471" s="125"/>
      <c r="F471" s="125"/>
      <c r="G471" s="24"/>
      <c r="H471" s="24"/>
      <c r="I471" s="77" t="s">
        <v>165</v>
      </c>
      <c r="J471" s="24"/>
      <c r="K471" s="62">
        <f>IF($E$44="","",VLOOKUP($E$44,Base!$A$3:$GI$3,136,FALSE))</f>
        <v>0</v>
      </c>
      <c r="L471" s="24"/>
      <c r="M471" s="207">
        <f>IF($E$44="","",VLOOKUP($E$44,Base!$A$3:$GI$3,139,FALSE))</f>
        <v>0</v>
      </c>
      <c r="N471" s="208"/>
      <c r="O471" s="24"/>
      <c r="P471" s="108"/>
    </row>
    <row r="472" spans="2:16" x14ac:dyDescent="0.2">
      <c r="B472" s="104"/>
      <c r="C472" s="24"/>
      <c r="D472" s="24"/>
      <c r="E472" s="24"/>
      <c r="F472" s="24"/>
      <c r="G472" s="24"/>
      <c r="H472" s="24"/>
      <c r="I472" s="77" t="s">
        <v>166</v>
      </c>
      <c r="J472" s="24"/>
      <c r="K472" s="62">
        <f>IF($E$44="","",VLOOKUP($E$44,Base!$A$3:$GI$3,137,FALSE))</f>
        <v>0</v>
      </c>
      <c r="L472" s="24"/>
      <c r="M472" s="207">
        <f>IF($E$44="","",VLOOKUP($E$44,Base!$A$3:$GI$3,140,FALSE))</f>
        <v>0</v>
      </c>
      <c r="N472" s="208"/>
      <c r="O472" s="24"/>
      <c r="P472" s="108"/>
    </row>
    <row r="473" spans="2:16" ht="6" customHeight="1" x14ac:dyDescent="0.2">
      <c r="B473" s="160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108"/>
    </row>
    <row r="474" spans="2:16" x14ac:dyDescent="0.2">
      <c r="B474" s="104"/>
      <c r="C474" s="24"/>
      <c r="D474" s="24"/>
      <c r="E474" s="24"/>
      <c r="F474" s="24"/>
      <c r="G474" s="24"/>
      <c r="H474" s="24"/>
      <c r="I474" s="69" t="s">
        <v>9</v>
      </c>
      <c r="J474" s="24"/>
      <c r="K474" s="62">
        <f>SUM(K470:K473)</f>
        <v>0</v>
      </c>
      <c r="L474" s="24"/>
      <c r="M474" s="207">
        <f>SUM(M470:M473)</f>
        <v>0</v>
      </c>
      <c r="N474" s="208"/>
      <c r="O474" s="24"/>
      <c r="P474" s="108"/>
    </row>
    <row r="475" spans="2:16" x14ac:dyDescent="0.2">
      <c r="B475" s="104"/>
      <c r="C475" s="24"/>
      <c r="D475" s="24"/>
      <c r="E475" s="24"/>
      <c r="F475" s="24"/>
      <c r="G475" s="24"/>
      <c r="H475" s="24"/>
      <c r="I475" s="69"/>
      <c r="J475" s="24"/>
      <c r="K475" s="136"/>
      <c r="L475" s="24"/>
      <c r="M475" s="136"/>
      <c r="N475" s="136"/>
      <c r="O475" s="122" t="s">
        <v>368</v>
      </c>
      <c r="P475" s="108"/>
    </row>
    <row r="476" spans="2:16" ht="16.5" thickBot="1" x14ac:dyDescent="0.25">
      <c r="B476" s="184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23" t="s">
        <v>374</v>
      </c>
      <c r="P476" s="148"/>
    </row>
    <row r="477" spans="2:16" x14ac:dyDescent="0.2">
      <c r="B477" s="93"/>
    </row>
    <row r="478" spans="2:16" ht="15" thickBot="1" x14ac:dyDescent="0.25">
      <c r="B478" s="93"/>
    </row>
    <row r="479" spans="2:16" ht="10.5" customHeight="1" x14ac:dyDescent="0.2">
      <c r="B479" s="112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5"/>
      <c r="P479" s="119"/>
    </row>
    <row r="480" spans="2:16" ht="26.25" customHeight="1" x14ac:dyDescent="0.2">
      <c r="B480" s="113"/>
      <c r="C480" s="81" t="s">
        <v>456</v>
      </c>
      <c r="D480" s="81"/>
      <c r="E480" s="81"/>
      <c r="F480" s="81"/>
      <c r="G480" s="81"/>
      <c r="H480" s="81"/>
      <c r="I480" s="24"/>
      <c r="J480" s="24"/>
      <c r="K480" s="81" t="s">
        <v>357</v>
      </c>
      <c r="L480" s="81"/>
      <c r="M480" s="81"/>
      <c r="N480" s="252" t="s">
        <v>372</v>
      </c>
      <c r="O480" s="252"/>
      <c r="P480" s="120"/>
    </row>
    <row r="481" spans="2:16" ht="9.75" customHeight="1" x14ac:dyDescent="0.2">
      <c r="B481" s="113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7"/>
      <c r="P481" s="118"/>
    </row>
    <row r="482" spans="2:16" x14ac:dyDescent="0.2">
      <c r="B482" s="153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60"/>
      <c r="P482" s="108"/>
    </row>
    <row r="483" spans="2:16" ht="15.75" x14ac:dyDescent="0.2">
      <c r="B483" s="104"/>
      <c r="C483" s="67" t="s">
        <v>102</v>
      </c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108"/>
    </row>
    <row r="484" spans="2:16" x14ac:dyDescent="0.2">
      <c r="B484" s="152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108"/>
    </row>
    <row r="485" spans="2:16" x14ac:dyDescent="0.2">
      <c r="B485" s="104"/>
      <c r="C485" s="199" t="s">
        <v>349</v>
      </c>
      <c r="D485" s="199"/>
      <c r="E485" s="199"/>
      <c r="F485" s="199"/>
      <c r="G485" s="24"/>
      <c r="H485" s="24"/>
      <c r="I485" s="24"/>
      <c r="J485" s="24"/>
      <c r="K485" s="24"/>
      <c r="L485" s="24"/>
      <c r="M485" s="24"/>
      <c r="N485" s="24"/>
      <c r="O485" s="24"/>
      <c r="P485" s="108"/>
    </row>
    <row r="486" spans="2:16" x14ac:dyDescent="0.2">
      <c r="B486" s="104"/>
      <c r="C486" s="199"/>
      <c r="D486" s="199"/>
      <c r="E486" s="199"/>
      <c r="F486" s="199"/>
      <c r="G486" s="24"/>
      <c r="H486" s="24"/>
      <c r="I486" s="37"/>
      <c r="J486" s="37"/>
      <c r="K486" s="37"/>
      <c r="L486" s="37"/>
      <c r="M486" s="37"/>
      <c r="N486" s="37"/>
      <c r="O486" s="37"/>
      <c r="P486" s="108"/>
    </row>
    <row r="487" spans="2:16" ht="21.75" customHeight="1" x14ac:dyDescent="0.2">
      <c r="B487" s="153"/>
      <c r="C487" s="24"/>
      <c r="D487" s="24"/>
      <c r="E487" s="24"/>
      <c r="F487" s="24"/>
      <c r="G487" s="24"/>
      <c r="H487" s="24"/>
      <c r="I487" s="260" t="s">
        <v>103</v>
      </c>
      <c r="J487" s="260"/>
      <c r="K487" s="260"/>
      <c r="L487" s="260"/>
      <c r="M487" s="260"/>
      <c r="N487" s="260"/>
      <c r="O487" s="260"/>
      <c r="P487" s="108"/>
    </row>
    <row r="488" spans="2:16" ht="21.75" customHeight="1" x14ac:dyDescent="0.2">
      <c r="B488" s="153"/>
      <c r="C488" s="24"/>
      <c r="D488" s="24"/>
      <c r="E488" s="24"/>
      <c r="F488" s="24"/>
      <c r="G488" s="24"/>
      <c r="H488" s="24"/>
      <c r="I488" s="255" t="s">
        <v>174</v>
      </c>
      <c r="J488" s="255" t="s">
        <v>175</v>
      </c>
      <c r="K488" s="255" t="s">
        <v>176</v>
      </c>
      <c r="L488" s="255" t="s">
        <v>177</v>
      </c>
      <c r="M488" s="255" t="s">
        <v>178</v>
      </c>
      <c r="N488" s="255" t="s">
        <v>105</v>
      </c>
      <c r="O488" s="255" t="s">
        <v>9</v>
      </c>
      <c r="P488" s="108"/>
    </row>
    <row r="489" spans="2:16" ht="21.75" customHeight="1" x14ac:dyDescent="0.2">
      <c r="B489" s="153"/>
      <c r="C489" s="24"/>
      <c r="D489" s="24"/>
      <c r="E489" s="24"/>
      <c r="F489" s="24"/>
      <c r="G489" s="24"/>
      <c r="H489" s="24"/>
      <c r="I489" s="255"/>
      <c r="J489" s="255"/>
      <c r="K489" s="255"/>
      <c r="L489" s="255"/>
      <c r="M489" s="255"/>
      <c r="N489" s="255"/>
      <c r="O489" s="255"/>
      <c r="P489" s="108"/>
    </row>
    <row r="490" spans="2:16" ht="21.75" customHeight="1" x14ac:dyDescent="0.2">
      <c r="B490" s="159"/>
      <c r="C490" s="24"/>
      <c r="D490" s="24"/>
      <c r="E490" s="24"/>
      <c r="F490" s="36" t="s">
        <v>169</v>
      </c>
      <c r="G490" s="24"/>
      <c r="H490" s="24"/>
      <c r="I490" s="62">
        <f>IF($E$44="","",VLOOKUP($E$44,Base!$A$3:$GI$3,141,FALSE))</f>
        <v>8</v>
      </c>
      <c r="J490" s="62">
        <f>IF($E$44="","",VLOOKUP($E$44,Base!$A$3:$GI$3,142,FALSE))</f>
        <v>1</v>
      </c>
      <c r="K490" s="62">
        <f>IF($E$44="","",VLOOKUP($E$44,Base!$A$3:$GI$3,143,FALSE))</f>
        <v>5</v>
      </c>
      <c r="L490" s="62">
        <f>IF($E$44="","",VLOOKUP($E$44,Base!$A$3:$GI$3,144,FALSE))</f>
        <v>0</v>
      </c>
      <c r="M490" s="62">
        <f>IF($E$44="","",VLOOKUP($E$44,Base!$A$3:$GI$3,145,FALSE))</f>
        <v>5</v>
      </c>
      <c r="N490" s="62">
        <f>IF($E$44="","",VLOOKUP($E$44,Base!$A$3:$GI$3,146,FALSE))</f>
        <v>10</v>
      </c>
      <c r="O490" s="62">
        <f>SUM(I490:N490)</f>
        <v>29</v>
      </c>
      <c r="P490" s="108"/>
    </row>
    <row r="491" spans="2:16" ht="21.75" customHeight="1" x14ac:dyDescent="0.2">
      <c r="B491" s="104"/>
      <c r="C491" s="24"/>
      <c r="D491" s="24"/>
      <c r="E491" s="24"/>
      <c r="F491" s="36" t="s">
        <v>170</v>
      </c>
      <c r="G491" s="24"/>
      <c r="H491" s="24"/>
      <c r="I491" s="62">
        <f>IF($E$44="","",VLOOKUP($E$44,Base!$A$3:$GI$3,147,FALSE))</f>
        <v>0</v>
      </c>
      <c r="J491" s="62">
        <f>IF($E$44="","",VLOOKUP($E$44,Base!$A$3:$GI$3,148,FALSE))</f>
        <v>0</v>
      </c>
      <c r="K491" s="62">
        <f>IF($E$44="","",VLOOKUP($E$44,Base!$A$3:$GI$3,149,FALSE))</f>
        <v>0</v>
      </c>
      <c r="L491" s="62">
        <f>IF($E$44="","",VLOOKUP($E$44,Base!$A$3:$GI$3,150,FALSE))</f>
        <v>0</v>
      </c>
      <c r="M491" s="62">
        <f>IF($E$44="","",VLOOKUP($E$44,Base!$A$3:$GI$3,151,FALSE))</f>
        <v>0</v>
      </c>
      <c r="N491" s="62">
        <f>IF($E$44="","",VLOOKUP($E$44,Base!$A$3:$GI$3,152,FALSE))</f>
        <v>0</v>
      </c>
      <c r="O491" s="62">
        <f t="shared" ref="O491:O494" si="4">SUM(I491:N491)</f>
        <v>0</v>
      </c>
      <c r="P491" s="108"/>
    </row>
    <row r="492" spans="2:16" ht="21.75" customHeight="1" x14ac:dyDescent="0.2">
      <c r="B492" s="104"/>
      <c r="C492" s="24"/>
      <c r="D492" s="24"/>
      <c r="E492" s="24"/>
      <c r="F492" s="36" t="s">
        <v>171</v>
      </c>
      <c r="G492" s="24"/>
      <c r="H492" s="24"/>
      <c r="I492" s="62">
        <f>IF($E$44="","",VLOOKUP($E$44,Base!$A$3:$GI$3,153,FALSE))</f>
        <v>0</v>
      </c>
      <c r="J492" s="62">
        <f>IF($E$44="","",VLOOKUP($E$44,Base!$A$3:$GI$3,154,FALSE))</f>
        <v>0</v>
      </c>
      <c r="K492" s="62">
        <f>IF($E$44="","",VLOOKUP($E$44,Base!$A$3:$GI$3,155,FALSE))</f>
        <v>3</v>
      </c>
      <c r="L492" s="62">
        <f>IF($E$44="","",VLOOKUP($E$44,Base!$A$3:$GI$3,156,FALSE))</f>
        <v>1</v>
      </c>
      <c r="M492" s="62">
        <f>IF($E$44="","",VLOOKUP($E$44,Base!$A$3:$GI$3,157,FALSE))</f>
        <v>3</v>
      </c>
      <c r="N492" s="62">
        <f>IF($E$44="","",VLOOKUP($E$44,Base!$A$3:$GI$3,158,FALSE))</f>
        <v>0</v>
      </c>
      <c r="O492" s="62">
        <f>SUM(I492:N492)</f>
        <v>7</v>
      </c>
      <c r="P492" s="108"/>
    </row>
    <row r="493" spans="2:16" ht="21.75" customHeight="1" x14ac:dyDescent="0.2">
      <c r="B493" s="182"/>
      <c r="C493" s="24"/>
      <c r="D493" s="24"/>
      <c r="E493" s="24"/>
      <c r="F493" s="36" t="s">
        <v>172</v>
      </c>
      <c r="G493" s="24"/>
      <c r="H493" s="24"/>
      <c r="I493" s="62">
        <f>IF($E$44="","",VLOOKUP($E$44,Base!$A$3:$GI$3,159,FALSE))</f>
        <v>2</v>
      </c>
      <c r="J493" s="62">
        <f>IF($E$44="","",VLOOKUP($E$44,Base!$A$3:$GI$3,160,FALSE))</f>
        <v>0</v>
      </c>
      <c r="K493" s="62">
        <f>IF($E$44="","",VLOOKUP($E$44,Base!$A$3:$GI$3,161,FALSE))</f>
        <v>5</v>
      </c>
      <c r="L493" s="62">
        <f>IF($E$44="","",VLOOKUP($E$44,Base!$A$3:$GI$3,162,FALSE))</f>
        <v>0</v>
      </c>
      <c r="M493" s="62">
        <f>IF($E$44="","",VLOOKUP($E$44,Base!$A$3:$GI$3,163,FALSE))</f>
        <v>5</v>
      </c>
      <c r="N493" s="62">
        <f>IF($E$44="","",VLOOKUP($E$44,Base!$A$3:$GI$3,164,FALSE))</f>
        <v>8</v>
      </c>
      <c r="O493" s="62">
        <f t="shared" si="4"/>
        <v>20</v>
      </c>
      <c r="P493" s="108"/>
    </row>
    <row r="494" spans="2:16" ht="21.75" customHeight="1" x14ac:dyDescent="0.2">
      <c r="B494" s="158"/>
      <c r="C494" s="24"/>
      <c r="D494" s="24"/>
      <c r="E494" s="24"/>
      <c r="F494" s="36" t="s">
        <v>173</v>
      </c>
      <c r="G494" s="24"/>
      <c r="H494" s="24"/>
      <c r="I494" s="62">
        <f>IF($E$44="","",VLOOKUP($E$44,Base!$A$3:$GI$3,165,FALSE))</f>
        <v>1</v>
      </c>
      <c r="J494" s="62">
        <f>IF($E$44="","",VLOOKUP($E$44,Base!$A$3:$GI$3,166,FALSE))</f>
        <v>0</v>
      </c>
      <c r="K494" s="62">
        <f>IF($E$44="","",VLOOKUP($E$44,Base!$A$3:$GI$3,167,FALSE))</f>
        <v>2</v>
      </c>
      <c r="L494" s="62">
        <f>IF($E$44="","",VLOOKUP($E$44,Base!$A$3:$GI$3,168,FALSE))</f>
        <v>0</v>
      </c>
      <c r="M494" s="62">
        <f>IF($E$44="","",VLOOKUP($E$44,Base!$A$3:$GI$3,169,FALSE))</f>
        <v>0</v>
      </c>
      <c r="N494" s="62">
        <f>IF($E$44="","",VLOOKUP($E$44,Base!$A$3:$GI$3,170,FALSE))</f>
        <v>4</v>
      </c>
      <c r="O494" s="62">
        <f t="shared" si="4"/>
        <v>7</v>
      </c>
      <c r="P494" s="108"/>
    </row>
    <row r="495" spans="2:16" ht="21.75" customHeight="1" x14ac:dyDescent="0.2">
      <c r="B495" s="10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108"/>
    </row>
    <row r="496" spans="2:16" ht="21.75" customHeight="1" x14ac:dyDescent="0.2">
      <c r="B496" s="104"/>
      <c r="C496" s="24"/>
      <c r="D496" s="24"/>
      <c r="E496" s="24"/>
      <c r="F496" s="37" t="s">
        <v>9</v>
      </c>
      <c r="G496" s="24"/>
      <c r="H496" s="24"/>
      <c r="I496" s="62">
        <f t="shared" ref="I496:O496" si="5">SUM(I490:I495)</f>
        <v>11</v>
      </c>
      <c r="J496" s="62">
        <f t="shared" si="5"/>
        <v>1</v>
      </c>
      <c r="K496" s="62">
        <f t="shared" si="5"/>
        <v>15</v>
      </c>
      <c r="L496" s="62">
        <f t="shared" si="5"/>
        <v>1</v>
      </c>
      <c r="M496" s="62">
        <f t="shared" si="5"/>
        <v>13</v>
      </c>
      <c r="N496" s="62">
        <f t="shared" si="5"/>
        <v>22</v>
      </c>
      <c r="O496" s="62">
        <f t="shared" si="5"/>
        <v>63</v>
      </c>
      <c r="P496" s="108"/>
    </row>
    <row r="497" spans="2:16" x14ac:dyDescent="0.2">
      <c r="B497" s="10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108"/>
    </row>
    <row r="498" spans="2:16" x14ac:dyDescent="0.2">
      <c r="B498" s="10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108"/>
    </row>
    <row r="499" spans="2:16" x14ac:dyDescent="0.2">
      <c r="B499" s="10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108"/>
    </row>
    <row r="500" spans="2:16" x14ac:dyDescent="0.2">
      <c r="B500" s="185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108"/>
    </row>
    <row r="501" spans="2:16" x14ac:dyDescent="0.2">
      <c r="B501" s="185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108"/>
    </row>
    <row r="502" spans="2:16" x14ac:dyDescent="0.2">
      <c r="B502" s="185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108"/>
    </row>
    <row r="503" spans="2:16" x14ac:dyDescent="0.2">
      <c r="B503" s="185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108"/>
    </row>
    <row r="504" spans="2:16" x14ac:dyDescent="0.2">
      <c r="B504" s="186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108"/>
    </row>
    <row r="505" spans="2:16" x14ac:dyDescent="0.2">
      <c r="B505" s="10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108"/>
    </row>
    <row r="506" spans="2:16" x14ac:dyDescent="0.2">
      <c r="B506" s="185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108"/>
    </row>
    <row r="507" spans="2:16" x14ac:dyDescent="0.2">
      <c r="B507" s="186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108"/>
    </row>
    <row r="508" spans="2:16" x14ac:dyDescent="0.2">
      <c r="B508" s="10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122" t="s">
        <v>375</v>
      </c>
      <c r="P508" s="108"/>
    </row>
    <row r="509" spans="2:16" ht="15" thickBot="1" x14ac:dyDescent="0.25">
      <c r="B509" s="18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23" t="s">
        <v>374</v>
      </c>
      <c r="P509" s="148"/>
    </row>
    <row r="510" spans="2:16" x14ac:dyDescent="0.2">
      <c r="B510" s="94"/>
    </row>
    <row r="511" spans="2:16" ht="15" thickBot="1" x14ac:dyDescent="0.25">
      <c r="B511" s="94"/>
    </row>
    <row r="512" spans="2:16" ht="9.75" customHeight="1" x14ac:dyDescent="0.2">
      <c r="B512" s="112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5"/>
      <c r="P512" s="119"/>
    </row>
    <row r="513" spans="2:16" ht="27" customHeight="1" x14ac:dyDescent="0.2">
      <c r="B513" s="113"/>
      <c r="C513" s="81" t="s">
        <v>456</v>
      </c>
      <c r="D513" s="81"/>
      <c r="E513" s="81"/>
      <c r="F513" s="81"/>
      <c r="G513" s="81"/>
      <c r="H513" s="81"/>
      <c r="I513" s="24"/>
      <c r="J513" s="24"/>
      <c r="K513" s="81" t="s">
        <v>357</v>
      </c>
      <c r="L513" s="81"/>
      <c r="M513" s="81"/>
      <c r="N513" s="252" t="s">
        <v>372</v>
      </c>
      <c r="O513" s="252"/>
      <c r="P513" s="120"/>
    </row>
    <row r="514" spans="2:16" ht="9" customHeight="1" x14ac:dyDescent="0.2">
      <c r="B514" s="113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7"/>
      <c r="P514" s="118"/>
    </row>
    <row r="515" spans="2:16" ht="15.75" x14ac:dyDescent="0.2">
      <c r="B515" s="104"/>
      <c r="C515" s="67" t="s">
        <v>106</v>
      </c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60"/>
      <c r="P515" s="108"/>
    </row>
    <row r="516" spans="2:16" ht="15.75" x14ac:dyDescent="0.2">
      <c r="B516" s="104"/>
      <c r="C516" s="67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60"/>
      <c r="P516" s="108"/>
    </row>
    <row r="517" spans="2:16" x14ac:dyDescent="0.2">
      <c r="B517" s="153"/>
      <c r="C517" s="199" t="s">
        <v>350</v>
      </c>
      <c r="D517" s="199"/>
      <c r="E517" s="199"/>
      <c r="F517" s="199"/>
      <c r="G517" s="24"/>
      <c r="H517" s="24"/>
      <c r="I517" s="24"/>
      <c r="J517" s="24"/>
      <c r="K517" s="260" t="s">
        <v>61</v>
      </c>
      <c r="L517" s="260"/>
      <c r="M517" s="260"/>
      <c r="N517" s="260"/>
      <c r="O517" s="24"/>
      <c r="P517" s="108"/>
    </row>
    <row r="518" spans="2:16" x14ac:dyDescent="0.2">
      <c r="B518" s="153"/>
      <c r="C518" s="199"/>
      <c r="D518" s="199"/>
      <c r="E518" s="199"/>
      <c r="F518" s="199"/>
      <c r="G518" s="24"/>
      <c r="H518" s="24"/>
      <c r="I518" s="24"/>
      <c r="J518" s="24"/>
      <c r="K518" s="211" t="s">
        <v>18</v>
      </c>
      <c r="L518" s="211" t="s">
        <v>19</v>
      </c>
      <c r="M518" s="211" t="s">
        <v>9</v>
      </c>
      <c r="N518" s="257" t="s">
        <v>120</v>
      </c>
      <c r="O518" s="24"/>
      <c r="P518" s="108"/>
    </row>
    <row r="519" spans="2:16" x14ac:dyDescent="0.2">
      <c r="B519" s="104"/>
      <c r="C519" s="199"/>
      <c r="D519" s="199"/>
      <c r="E519" s="199"/>
      <c r="F519" s="199"/>
      <c r="G519" s="24"/>
      <c r="H519" s="24"/>
      <c r="I519" s="24"/>
      <c r="J519" s="24"/>
      <c r="K519" s="212"/>
      <c r="L519" s="212"/>
      <c r="M519" s="212"/>
      <c r="N519" s="258"/>
      <c r="O519" s="24"/>
      <c r="P519" s="108"/>
    </row>
    <row r="520" spans="2:16" x14ac:dyDescent="0.2">
      <c r="B520" s="104"/>
      <c r="C520" s="125"/>
      <c r="D520" s="125"/>
      <c r="E520" s="125"/>
      <c r="F520" s="125"/>
      <c r="G520" s="24"/>
      <c r="H520" s="24"/>
      <c r="I520" s="24"/>
      <c r="J520" s="24"/>
      <c r="K520" s="66">
        <f>+K527</f>
        <v>16</v>
      </c>
      <c r="L520" s="66">
        <f>+L527</f>
        <v>20</v>
      </c>
      <c r="M520" s="66">
        <f>+M527</f>
        <v>36</v>
      </c>
      <c r="N520" s="66">
        <f>+N527</f>
        <v>0</v>
      </c>
      <c r="O520" s="24"/>
      <c r="P520" s="108"/>
    </row>
    <row r="521" spans="2:16" x14ac:dyDescent="0.2">
      <c r="B521" s="104"/>
      <c r="C521" s="125"/>
      <c r="D521" s="125"/>
      <c r="E521" s="125"/>
      <c r="F521" s="125"/>
      <c r="G521" s="24"/>
      <c r="H521" s="24"/>
      <c r="I521" s="24"/>
      <c r="J521" s="24"/>
      <c r="K521" s="24"/>
      <c r="L521" s="24"/>
      <c r="M521" s="24"/>
      <c r="N521" s="24"/>
      <c r="O521" s="24"/>
      <c r="P521" s="108"/>
    </row>
    <row r="522" spans="2:16" x14ac:dyDescent="0.2">
      <c r="B522" s="180"/>
      <c r="C522" s="199" t="s">
        <v>351</v>
      </c>
      <c r="D522" s="199"/>
      <c r="E522" s="199"/>
      <c r="F522" s="199"/>
      <c r="G522" s="24"/>
      <c r="H522" s="24"/>
      <c r="I522" s="37" t="s">
        <v>135</v>
      </c>
      <c r="J522" s="24"/>
      <c r="K522" s="24"/>
      <c r="L522" s="24"/>
      <c r="M522" s="24"/>
      <c r="N522" s="24"/>
      <c r="O522" s="24"/>
      <c r="P522" s="108"/>
    </row>
    <row r="523" spans="2:16" x14ac:dyDescent="0.2">
      <c r="B523" s="153"/>
      <c r="C523" s="199"/>
      <c r="D523" s="199"/>
      <c r="E523" s="199"/>
      <c r="F523" s="199"/>
      <c r="G523" s="24"/>
      <c r="H523" s="24"/>
      <c r="I523" s="36" t="s">
        <v>62</v>
      </c>
      <c r="J523" s="24"/>
      <c r="K523" s="62">
        <f>IF($E$44="","",VLOOKUP($E$44,Base!$A$3:$GI$3,171,FALSE))</f>
        <v>4</v>
      </c>
      <c r="L523" s="62">
        <f>IF($E$44="","",VLOOKUP($E$44,Base!$A$3:$GI$3,172,FALSE))</f>
        <v>3</v>
      </c>
      <c r="M523" s="62">
        <f>SUM(K523:L523)</f>
        <v>7</v>
      </c>
      <c r="N523" s="62" t="str">
        <f>IF($E$44="","",VLOOKUP($E$44,Base!$A$3:$GI$3,173,FALSE))</f>
        <v xml:space="preserve"> </v>
      </c>
      <c r="O523" s="24"/>
      <c r="P523" s="108"/>
    </row>
    <row r="524" spans="2:16" x14ac:dyDescent="0.2">
      <c r="B524" s="153"/>
      <c r="C524" s="199"/>
      <c r="D524" s="199"/>
      <c r="E524" s="199"/>
      <c r="F524" s="199"/>
      <c r="G524" s="24"/>
      <c r="H524" s="24"/>
      <c r="I524" s="36" t="s">
        <v>63</v>
      </c>
      <c r="J524" s="24"/>
      <c r="K524" s="62" t="str">
        <f>IF($E$44="","",VLOOKUP($E$44,Base!$A$3:$GI$3,174,FALSE))</f>
        <v xml:space="preserve"> </v>
      </c>
      <c r="L524" s="62" t="str">
        <f>IF($E$44="","",VLOOKUP($E$44,Base!$A$3:$GI$3,175,FALSE))</f>
        <v xml:space="preserve"> </v>
      </c>
      <c r="M524" s="62">
        <f>SUM(K524:L524)</f>
        <v>0</v>
      </c>
      <c r="N524" s="62" t="str">
        <f>IF($E$44="","",VLOOKUP($E$44,Base!$A$3:$GI$3,176,FALSE))</f>
        <v xml:space="preserve"> </v>
      </c>
      <c r="O524" s="24"/>
      <c r="P524" s="108"/>
    </row>
    <row r="525" spans="2:16" x14ac:dyDescent="0.2">
      <c r="B525" s="153"/>
      <c r="C525" s="199"/>
      <c r="D525" s="199"/>
      <c r="E525" s="199"/>
      <c r="F525" s="199"/>
      <c r="G525" s="24"/>
      <c r="H525" s="24"/>
      <c r="I525" s="36" t="s">
        <v>64</v>
      </c>
      <c r="J525" s="24"/>
      <c r="K525" s="62">
        <f>IF($E$44="","",VLOOKUP($E$44,Base!$A$3:$GI$3,177,FALSE))</f>
        <v>12</v>
      </c>
      <c r="L525" s="62">
        <f>IF($E$44="","",VLOOKUP($E$44,Base!$A$3:$GI$3,178,FALSE))</f>
        <v>17</v>
      </c>
      <c r="M525" s="62">
        <f>SUM(K525:L525)</f>
        <v>29</v>
      </c>
      <c r="N525" s="62" t="str">
        <f>IF($E$44="","",VLOOKUP($E$44,Base!$A$3:$GI$3,179,FALSE))</f>
        <v xml:space="preserve"> </v>
      </c>
      <c r="O525" s="24"/>
      <c r="P525" s="108"/>
    </row>
    <row r="526" spans="2:16" x14ac:dyDescent="0.2">
      <c r="B526" s="153"/>
      <c r="C526" s="125"/>
      <c r="D526" s="125"/>
      <c r="E526" s="125"/>
      <c r="F526" s="125"/>
      <c r="G526" s="24"/>
      <c r="H526" s="24"/>
      <c r="I526" s="24"/>
      <c r="J526" s="24"/>
      <c r="K526" s="24"/>
      <c r="L526" s="24"/>
      <c r="M526" s="24"/>
      <c r="N526" s="24"/>
      <c r="O526" s="24"/>
      <c r="P526" s="108"/>
    </row>
    <row r="527" spans="2:16" x14ac:dyDescent="0.2">
      <c r="B527" s="104"/>
      <c r="C527" s="125"/>
      <c r="D527" s="125"/>
      <c r="E527" s="125"/>
      <c r="F527" s="125"/>
      <c r="G527" s="24"/>
      <c r="H527" s="24"/>
      <c r="I527" s="37" t="s">
        <v>9</v>
      </c>
      <c r="J527" s="24"/>
      <c r="K527" s="62">
        <f>SUM(K523:K526)</f>
        <v>16</v>
      </c>
      <c r="L527" s="62">
        <f>SUM(L523:L526)</f>
        <v>20</v>
      </c>
      <c r="M527" s="62">
        <f>SUM(M523:M526)</f>
        <v>36</v>
      </c>
      <c r="N527" s="62">
        <f>SUM(N523:N526)</f>
        <v>0</v>
      </c>
      <c r="O527" s="24"/>
      <c r="P527" s="108"/>
    </row>
    <row r="528" spans="2:16" x14ac:dyDescent="0.2">
      <c r="B528" s="104"/>
      <c r="C528" s="125"/>
      <c r="D528" s="125"/>
      <c r="E528" s="125"/>
      <c r="F528" s="125"/>
      <c r="G528" s="24"/>
      <c r="H528" s="24"/>
      <c r="I528" s="24"/>
      <c r="J528" s="24"/>
      <c r="K528" s="24"/>
      <c r="L528" s="24"/>
      <c r="M528" s="24"/>
      <c r="N528" s="24"/>
      <c r="O528" s="24"/>
      <c r="P528" s="108"/>
    </row>
    <row r="529" spans="2:16" ht="15" customHeight="1" x14ac:dyDescent="0.2">
      <c r="B529" s="104"/>
      <c r="C529" s="199" t="s">
        <v>352</v>
      </c>
      <c r="D529" s="199"/>
      <c r="E529" s="199"/>
      <c r="F529" s="199"/>
      <c r="G529" s="24"/>
      <c r="H529" s="24"/>
      <c r="I529" s="37" t="s">
        <v>65</v>
      </c>
      <c r="J529" s="24"/>
      <c r="O529" s="24"/>
      <c r="P529" s="108"/>
    </row>
    <row r="530" spans="2:16" x14ac:dyDescent="0.2">
      <c r="B530" s="104"/>
      <c r="C530" s="199"/>
      <c r="D530" s="199"/>
      <c r="E530" s="199"/>
      <c r="F530" s="199"/>
      <c r="G530" s="24"/>
      <c r="H530" s="24"/>
      <c r="I530" s="36" t="s">
        <v>179</v>
      </c>
      <c r="J530" s="24"/>
      <c r="K530" s="62">
        <f>IF($E$44="","",VLOOKUP($E$44,Base!$A$3:$GI$3,180,FALSE))</f>
        <v>3</v>
      </c>
      <c r="L530" s="62">
        <f>IF($E$44="","",VLOOKUP($E$44,Base!$A$3:$GI$3,181,FALSE))</f>
        <v>1</v>
      </c>
      <c r="M530" s="62">
        <f>SUM(K530:L530)</f>
        <v>4</v>
      </c>
      <c r="N530" s="62" t="str">
        <f>IF($E$44="","",VLOOKUP($E$44,Base!$A$3:$GI$3,185,FALSE))</f>
        <v xml:space="preserve"> </v>
      </c>
      <c r="O530" s="24"/>
      <c r="P530" s="108"/>
    </row>
    <row r="531" spans="2:16" x14ac:dyDescent="0.2">
      <c r="B531" s="104"/>
      <c r="C531" s="199"/>
      <c r="D531" s="199"/>
      <c r="E531" s="199"/>
      <c r="F531" s="199"/>
      <c r="G531" s="24"/>
      <c r="H531" s="24"/>
      <c r="I531" s="36" t="s">
        <v>119</v>
      </c>
      <c r="J531" s="24"/>
      <c r="K531" s="62">
        <f>IF($E$44="","",VLOOKUP($E$44,Base!$A$3:$GI$3,183,FALSE))</f>
        <v>12</v>
      </c>
      <c r="L531" s="62">
        <f>IF($E$44="","",VLOOKUP($E$44,Base!$A$3:$GI$3,184,FALSE))</f>
        <v>18</v>
      </c>
      <c r="M531" s="62">
        <f>SUM(K531:L531)</f>
        <v>30</v>
      </c>
      <c r="N531" s="62" t="str">
        <f>IF($E$44="","",VLOOKUP($E$44,Base!$A$3:$GI$3,185,FALSE))</f>
        <v xml:space="preserve"> </v>
      </c>
      <c r="O531" s="24"/>
      <c r="P531" s="108"/>
    </row>
    <row r="532" spans="2:16" ht="16.5" x14ac:dyDescent="0.2">
      <c r="B532" s="159"/>
      <c r="C532" s="83" t="s">
        <v>15</v>
      </c>
      <c r="D532" s="125"/>
      <c r="E532" s="125"/>
      <c r="F532" s="125"/>
      <c r="G532" s="24"/>
      <c r="H532" s="24"/>
      <c r="I532" s="36" t="s">
        <v>105</v>
      </c>
      <c r="J532" s="24"/>
      <c r="K532" s="62">
        <f>IF($E$44="","",VLOOKUP($E$44,Base!$A$3:$GI$3,186,FALSE))</f>
        <v>1</v>
      </c>
      <c r="L532" s="62">
        <f>IF($E$44="","",VLOOKUP($E$44,Base!$A$3:$GI$3,187,FALSE))</f>
        <v>1</v>
      </c>
      <c r="M532" s="62">
        <f>SUM(K532:L532)</f>
        <v>2</v>
      </c>
      <c r="N532" s="62" t="str">
        <f>IF($E$44="","",VLOOKUP($E$44,Base!$A$3:$GI$3,188,FALSE))</f>
        <v xml:space="preserve"> </v>
      </c>
      <c r="O532" s="24"/>
      <c r="P532" s="108"/>
    </row>
    <row r="533" spans="2:16" x14ac:dyDescent="0.2">
      <c r="B533" s="104"/>
      <c r="C533" s="206" t="s">
        <v>107</v>
      </c>
      <c r="D533" s="206"/>
      <c r="E533" s="206"/>
      <c r="F533" s="206"/>
      <c r="G533" s="24"/>
      <c r="H533" s="24"/>
      <c r="I533" s="24"/>
      <c r="J533" s="24"/>
      <c r="K533" s="24"/>
      <c r="L533" s="24"/>
      <c r="M533" s="24"/>
      <c r="N533" s="24"/>
      <c r="O533" s="24"/>
      <c r="P533" s="108"/>
    </row>
    <row r="534" spans="2:16" ht="15" customHeight="1" x14ac:dyDescent="0.2">
      <c r="B534" s="104"/>
      <c r="C534" s="206"/>
      <c r="D534" s="206"/>
      <c r="E534" s="206"/>
      <c r="F534" s="206"/>
      <c r="G534" s="24"/>
      <c r="H534" s="24"/>
      <c r="I534" s="37" t="s">
        <v>9</v>
      </c>
      <c r="J534" s="24"/>
      <c r="K534" s="62">
        <f>SUM(K530:K533)</f>
        <v>16</v>
      </c>
      <c r="L534" s="62">
        <f>SUM(L530:L533)</f>
        <v>20</v>
      </c>
      <c r="M534" s="62">
        <f>SUM(M530:M533)</f>
        <v>36</v>
      </c>
      <c r="N534" s="62">
        <f>SUM(N529:N533)</f>
        <v>0</v>
      </c>
      <c r="O534" s="24"/>
      <c r="P534" s="108"/>
    </row>
    <row r="535" spans="2:16" x14ac:dyDescent="0.2">
      <c r="B535" s="153"/>
      <c r="C535" s="125"/>
      <c r="D535" s="125"/>
      <c r="E535" s="125"/>
      <c r="F535" s="125"/>
      <c r="G535" s="24"/>
      <c r="H535" s="24"/>
      <c r="I535" s="24"/>
      <c r="J535" s="24"/>
      <c r="K535" s="24"/>
      <c r="L535" s="24"/>
      <c r="M535" s="24"/>
      <c r="N535" s="24"/>
      <c r="O535" s="24"/>
      <c r="P535" s="108"/>
    </row>
    <row r="536" spans="2:16" x14ac:dyDescent="0.2">
      <c r="B536" s="104"/>
      <c r="C536" s="199" t="s">
        <v>353</v>
      </c>
      <c r="D536" s="199"/>
      <c r="E536" s="199"/>
      <c r="F536" s="199"/>
      <c r="G536" s="24"/>
      <c r="H536" s="24"/>
      <c r="I536" s="37" t="s">
        <v>67</v>
      </c>
      <c r="J536" s="24"/>
      <c r="K536" s="24"/>
      <c r="L536" s="24"/>
      <c r="M536" s="24"/>
      <c r="N536" s="24"/>
      <c r="O536" s="24"/>
      <c r="P536" s="108"/>
    </row>
    <row r="537" spans="2:16" x14ac:dyDescent="0.2">
      <c r="B537" s="104"/>
      <c r="C537" s="199"/>
      <c r="D537" s="199"/>
      <c r="E537" s="199"/>
      <c r="F537" s="199"/>
      <c r="G537" s="24"/>
      <c r="H537" s="24"/>
      <c r="I537" s="36" t="s">
        <v>68</v>
      </c>
      <c r="J537" s="24"/>
      <c r="K537" s="62">
        <f>IF($E$44="","",VLOOKUP($E$44,Base!$A$3:$GI$3,189,FALSE))</f>
        <v>16</v>
      </c>
      <c r="L537" s="62">
        <f>IF($E$44="","",VLOOKUP($E$44,Base!$A$3:$GI$3,190,FALSE))</f>
        <v>20</v>
      </c>
      <c r="M537" s="62">
        <f t="shared" ref="M537:M542" si="6">SUM(K537:L537)</f>
        <v>36</v>
      </c>
      <c r="N537" s="62" t="str">
        <f>IF($E$44="","",VLOOKUP($E$44,Base!$A$3:$GI$3,191,FALSE))</f>
        <v xml:space="preserve"> </v>
      </c>
      <c r="O537" s="24"/>
      <c r="P537" s="108"/>
    </row>
    <row r="538" spans="2:16" x14ac:dyDescent="0.2">
      <c r="B538" s="104"/>
      <c r="C538" s="199"/>
      <c r="D538" s="199"/>
      <c r="E538" s="199"/>
      <c r="F538" s="199"/>
      <c r="G538" s="24"/>
      <c r="H538" s="24"/>
      <c r="I538" s="36" t="s">
        <v>69</v>
      </c>
      <c r="J538" s="24"/>
      <c r="K538" s="62" t="str">
        <f>IF($E$44="","",VLOOKUP($E$44,Base!$A$3:$GI$3,191,FALSE))</f>
        <v xml:space="preserve"> </v>
      </c>
      <c r="L538" s="62" t="str">
        <f>IF($E$44="","",VLOOKUP($E$44,Base!$A$3:$GI$3,191,FALSE))</f>
        <v xml:space="preserve"> </v>
      </c>
      <c r="M538" s="62">
        <f t="shared" si="6"/>
        <v>0</v>
      </c>
      <c r="N538" s="62" t="str">
        <f>IF($E$44="","",VLOOKUP($E$44,Base!$A$3:$GI$3,191,FALSE))</f>
        <v xml:space="preserve"> </v>
      </c>
      <c r="O538" s="24"/>
      <c r="P538" s="108"/>
    </row>
    <row r="539" spans="2:16" x14ac:dyDescent="0.2">
      <c r="B539" s="104"/>
      <c r="C539" s="199"/>
      <c r="D539" s="199"/>
      <c r="E539" s="199"/>
      <c r="F539" s="199"/>
      <c r="G539" s="24"/>
      <c r="H539" s="24"/>
      <c r="I539" s="36" t="s">
        <v>139</v>
      </c>
      <c r="J539" s="24"/>
      <c r="K539" s="62" t="str">
        <f>IF($E$44="","",VLOOKUP($E$44,Base!$A$3:$GI$3,191,FALSE))</f>
        <v xml:space="preserve"> </v>
      </c>
      <c r="L539" s="62" t="str">
        <f>IF($E$44="","",VLOOKUP($E$44,Base!$A$3:$GI$3,191,FALSE))</f>
        <v xml:space="preserve"> </v>
      </c>
      <c r="M539" s="62">
        <f t="shared" si="6"/>
        <v>0</v>
      </c>
      <c r="N539" s="62" t="str">
        <f>IF($E$44="","",VLOOKUP($E$44,Base!$A$3:$GI$3,191,FALSE))</f>
        <v xml:space="preserve"> </v>
      </c>
      <c r="O539" s="24"/>
      <c r="P539" s="108"/>
    </row>
    <row r="540" spans="2:16" x14ac:dyDescent="0.2">
      <c r="B540" s="104"/>
      <c r="C540" s="24"/>
      <c r="D540" s="24"/>
      <c r="E540" s="24"/>
      <c r="F540" s="24"/>
      <c r="G540" s="24"/>
      <c r="H540" s="24"/>
      <c r="I540" s="36" t="s">
        <v>140</v>
      </c>
      <c r="J540" s="24"/>
      <c r="K540" s="62" t="str">
        <f>IF($E$44="","",VLOOKUP($E$44,Base!$A$3:$GI$3,191,FALSE))</f>
        <v xml:space="preserve"> </v>
      </c>
      <c r="L540" s="62" t="str">
        <f>IF($E$44="","",VLOOKUP($E$44,Base!$A$3:$GI$3,191,FALSE))</f>
        <v xml:space="preserve"> </v>
      </c>
      <c r="M540" s="62">
        <f t="shared" si="6"/>
        <v>0</v>
      </c>
      <c r="N540" s="62" t="str">
        <f>IF($E$44="","",VLOOKUP($E$44,Base!$A$3:$GI$3,191,FALSE))</f>
        <v xml:space="preserve"> </v>
      </c>
      <c r="O540" s="24"/>
      <c r="P540" s="108"/>
    </row>
    <row r="541" spans="2:16" x14ac:dyDescent="0.2">
      <c r="B541" s="104"/>
      <c r="C541" s="24"/>
      <c r="D541" s="24"/>
      <c r="E541" s="24"/>
      <c r="F541" s="24"/>
      <c r="G541" s="24"/>
      <c r="H541" s="24"/>
      <c r="I541" s="36" t="s">
        <v>141</v>
      </c>
      <c r="J541" s="24"/>
      <c r="K541" s="62" t="str">
        <f>IF($E$44="","",VLOOKUP($E$44,Base!$A$3:$GI$3,191,FALSE))</f>
        <v xml:space="preserve"> </v>
      </c>
      <c r="L541" s="62" t="str">
        <f>IF($E$44="","",VLOOKUP($E$44,Base!$A$3:$GI$3,191,FALSE))</f>
        <v xml:space="preserve"> </v>
      </c>
      <c r="M541" s="62">
        <f t="shared" si="6"/>
        <v>0</v>
      </c>
      <c r="N541" s="62" t="str">
        <f>IF($E$44="","",VLOOKUP($E$44,Base!$A$3:$GI$3,191,FALSE))</f>
        <v xml:space="preserve"> </v>
      </c>
      <c r="O541" s="24"/>
      <c r="P541" s="108"/>
    </row>
    <row r="542" spans="2:16" x14ac:dyDescent="0.2">
      <c r="B542" s="104"/>
      <c r="C542" s="24"/>
      <c r="D542" s="24"/>
      <c r="E542" s="24"/>
      <c r="F542" s="24"/>
      <c r="G542" s="24"/>
      <c r="H542" s="24"/>
      <c r="I542" s="36" t="s">
        <v>180</v>
      </c>
      <c r="J542" s="24"/>
      <c r="K542" s="62" t="str">
        <f>IF($E$44="","",VLOOKUP($E$44,Base!$A$3:$GI$3,191,FALSE))</f>
        <v xml:space="preserve"> </v>
      </c>
      <c r="L542" s="62" t="str">
        <f>IF($E$44="","",VLOOKUP($E$44,Base!$A$3:$GI$3,191,FALSE))</f>
        <v xml:space="preserve"> </v>
      </c>
      <c r="M542" s="62">
        <f t="shared" si="6"/>
        <v>0</v>
      </c>
      <c r="N542" s="62" t="str">
        <f>IF($E$44="","",VLOOKUP($E$44,Base!$A$3:$GI$3,191,FALSE))</f>
        <v xml:space="preserve"> </v>
      </c>
      <c r="O542" s="24"/>
      <c r="P542" s="108"/>
    </row>
    <row r="543" spans="2:16" x14ac:dyDescent="0.2">
      <c r="B543" s="10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108"/>
    </row>
    <row r="544" spans="2:16" x14ac:dyDescent="0.2">
      <c r="B544" s="104"/>
      <c r="C544" s="24"/>
      <c r="D544" s="24"/>
      <c r="E544" s="24"/>
      <c r="F544" s="24"/>
      <c r="G544" s="24"/>
      <c r="H544" s="24"/>
      <c r="I544" s="37" t="s">
        <v>9</v>
      </c>
      <c r="J544" s="24"/>
      <c r="K544" s="62">
        <f>SUM(K537:K543)</f>
        <v>16</v>
      </c>
      <c r="L544" s="62">
        <f>SUM(L537:L543)</f>
        <v>20</v>
      </c>
      <c r="M544" s="62">
        <f>SUM(M537:M543)</f>
        <v>36</v>
      </c>
      <c r="N544" s="62">
        <f>SUM(N537:N543)</f>
        <v>0</v>
      </c>
      <c r="O544" s="24"/>
      <c r="P544" s="108"/>
    </row>
    <row r="545" spans="1:17" ht="15.75" x14ac:dyDescent="0.2">
      <c r="B545" s="188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108"/>
    </row>
    <row r="546" spans="1:17" ht="15.75" x14ac:dyDescent="0.2">
      <c r="B546" s="188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122" t="s">
        <v>376</v>
      </c>
      <c r="P546" s="108"/>
    </row>
    <row r="547" spans="1:17" ht="16.5" thickBot="1" x14ac:dyDescent="0.25">
      <c r="B547" s="184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23" t="s">
        <v>374</v>
      </c>
      <c r="P547" s="148"/>
    </row>
    <row r="548" spans="1:17" ht="15.75" x14ac:dyDescent="0.2">
      <c r="B548" s="85"/>
    </row>
    <row r="549" spans="1:17" ht="16.5" thickBot="1" x14ac:dyDescent="0.25">
      <c r="B549" s="85"/>
    </row>
    <row r="550" spans="1:17" ht="10.5" customHeight="1" x14ac:dyDescent="0.2">
      <c r="B550" s="112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5"/>
      <c r="P550" s="119"/>
    </row>
    <row r="551" spans="1:17" ht="23.25" customHeight="1" x14ac:dyDescent="0.2">
      <c r="B551" s="113"/>
      <c r="C551" s="81" t="s">
        <v>456</v>
      </c>
      <c r="D551" s="81"/>
      <c r="E551" s="81"/>
      <c r="F551" s="81"/>
      <c r="G551" s="81"/>
      <c r="H551" s="81"/>
      <c r="I551" s="24"/>
      <c r="J551" s="24"/>
      <c r="K551" s="81" t="s">
        <v>357</v>
      </c>
      <c r="L551" s="81"/>
      <c r="M551" s="81"/>
      <c r="N551" s="273" t="s">
        <v>379</v>
      </c>
      <c r="O551" s="252"/>
      <c r="P551" s="120"/>
    </row>
    <row r="552" spans="1:17" ht="10.5" customHeight="1" x14ac:dyDescent="0.2">
      <c r="B552" s="113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7"/>
      <c r="P552" s="118"/>
    </row>
    <row r="553" spans="1:17" ht="12" customHeight="1" x14ac:dyDescent="0.2">
      <c r="A553" s="149"/>
      <c r="B553" s="104"/>
      <c r="C553" s="37" t="s">
        <v>377</v>
      </c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108"/>
      <c r="Q553" s="149"/>
    </row>
    <row r="554" spans="1:17" x14ac:dyDescent="0.2">
      <c r="A554" s="149"/>
      <c r="B554" s="10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108"/>
      <c r="Q554" s="149"/>
    </row>
    <row r="555" spans="1:17" ht="27" customHeight="1" x14ac:dyDescent="0.2">
      <c r="A555" s="149"/>
      <c r="B555" s="104"/>
      <c r="C555" s="271" t="s">
        <v>378</v>
      </c>
      <c r="D555" s="272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137"/>
      <c r="P555" s="108"/>
      <c r="Q555" s="149"/>
    </row>
    <row r="556" spans="1:17" x14ac:dyDescent="0.2">
      <c r="A556" s="149"/>
      <c r="B556" s="104"/>
      <c r="C556" s="138"/>
      <c r="D556" s="139"/>
      <c r="E556" s="139"/>
      <c r="F556" s="139"/>
      <c r="G556" s="139"/>
      <c r="H556" s="139"/>
      <c r="I556" s="139"/>
      <c r="J556" s="24"/>
      <c r="K556" s="24"/>
      <c r="L556" s="24"/>
      <c r="M556" s="24"/>
      <c r="N556" s="24"/>
      <c r="O556" s="99"/>
      <c r="P556" s="108"/>
      <c r="Q556" s="149"/>
    </row>
    <row r="557" spans="1:17" x14ac:dyDescent="0.2">
      <c r="A557" s="149"/>
      <c r="B557" s="104"/>
      <c r="C557" s="140"/>
      <c r="D557" s="141"/>
      <c r="E557" s="141"/>
      <c r="F557" s="141"/>
      <c r="G557" s="141"/>
      <c r="H557" s="141"/>
      <c r="I557" s="141"/>
      <c r="J557" s="42"/>
      <c r="K557" s="42"/>
      <c r="L557" s="42"/>
      <c r="M557" s="42"/>
      <c r="N557" s="42"/>
      <c r="O557" s="142"/>
      <c r="P557" s="108"/>
      <c r="Q557" s="149"/>
    </row>
    <row r="558" spans="1:17" x14ac:dyDescent="0.2">
      <c r="A558" s="149"/>
      <c r="B558" s="104"/>
      <c r="C558" s="138"/>
      <c r="D558" s="139"/>
      <c r="E558" s="139"/>
      <c r="F558" s="139"/>
      <c r="G558" s="139"/>
      <c r="H558" s="139"/>
      <c r="I558" s="139"/>
      <c r="J558" s="24"/>
      <c r="K558" s="24"/>
      <c r="L558" s="24"/>
      <c r="M558" s="24"/>
      <c r="N558" s="24"/>
      <c r="O558" s="99"/>
      <c r="P558" s="108"/>
      <c r="Q558" s="149"/>
    </row>
    <row r="559" spans="1:17" x14ac:dyDescent="0.2">
      <c r="A559" s="149"/>
      <c r="B559" s="104"/>
      <c r="C559" s="140"/>
      <c r="D559" s="141"/>
      <c r="E559" s="141"/>
      <c r="F559" s="141"/>
      <c r="G559" s="141"/>
      <c r="H559" s="141"/>
      <c r="I559" s="141"/>
      <c r="J559" s="42"/>
      <c r="K559" s="42"/>
      <c r="L559" s="42"/>
      <c r="M559" s="42"/>
      <c r="N559" s="42"/>
      <c r="O559" s="142"/>
      <c r="P559" s="108"/>
      <c r="Q559" s="149"/>
    </row>
    <row r="560" spans="1:17" x14ac:dyDescent="0.2">
      <c r="A560" s="149"/>
      <c r="B560" s="104"/>
      <c r="C560" s="138"/>
      <c r="D560" s="139"/>
      <c r="E560" s="139"/>
      <c r="F560" s="139"/>
      <c r="G560" s="139"/>
      <c r="H560" s="139"/>
      <c r="I560" s="139"/>
      <c r="J560" s="24"/>
      <c r="K560" s="24"/>
      <c r="L560" s="24"/>
      <c r="M560" s="24"/>
      <c r="N560" s="24"/>
      <c r="O560" s="99"/>
      <c r="P560" s="108"/>
      <c r="Q560" s="149"/>
    </row>
    <row r="561" spans="1:17" x14ac:dyDescent="0.2">
      <c r="A561" s="149"/>
      <c r="B561" s="104"/>
      <c r="C561" s="140"/>
      <c r="D561" s="141"/>
      <c r="E561" s="141"/>
      <c r="F561" s="141"/>
      <c r="G561" s="141"/>
      <c r="H561" s="141"/>
      <c r="I561" s="141"/>
      <c r="J561" s="42"/>
      <c r="K561" s="42"/>
      <c r="L561" s="42"/>
      <c r="M561" s="42"/>
      <c r="N561" s="42"/>
      <c r="O561" s="142"/>
      <c r="P561" s="108"/>
      <c r="Q561" s="149"/>
    </row>
    <row r="562" spans="1:17" x14ac:dyDescent="0.2">
      <c r="A562" s="149"/>
      <c r="B562" s="104"/>
      <c r="C562" s="138"/>
      <c r="D562" s="139"/>
      <c r="E562" s="139"/>
      <c r="F562" s="139"/>
      <c r="G562" s="139"/>
      <c r="H562" s="139"/>
      <c r="I562" s="139"/>
      <c r="J562" s="24"/>
      <c r="K562" s="24"/>
      <c r="L562" s="24"/>
      <c r="M562" s="24"/>
      <c r="N562" s="24"/>
      <c r="O562" s="99"/>
      <c r="P562" s="108"/>
      <c r="Q562" s="149"/>
    </row>
    <row r="563" spans="1:17" x14ac:dyDescent="0.2">
      <c r="A563" s="149"/>
      <c r="B563" s="104"/>
      <c r="C563" s="140"/>
      <c r="D563" s="141"/>
      <c r="E563" s="141"/>
      <c r="F563" s="141"/>
      <c r="G563" s="141"/>
      <c r="H563" s="141"/>
      <c r="I563" s="141"/>
      <c r="J563" s="42"/>
      <c r="K563" s="42"/>
      <c r="L563" s="42"/>
      <c r="M563" s="42"/>
      <c r="N563" s="42"/>
      <c r="O563" s="142"/>
      <c r="P563" s="108"/>
      <c r="Q563" s="149"/>
    </row>
    <row r="564" spans="1:17" ht="27" customHeight="1" x14ac:dyDescent="0.2">
      <c r="A564" s="149"/>
      <c r="B564" s="104"/>
      <c r="C564" s="143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142"/>
      <c r="P564" s="108"/>
      <c r="Q564" s="149"/>
    </row>
    <row r="565" spans="1:17" x14ac:dyDescent="0.2">
      <c r="A565" s="149"/>
      <c r="B565" s="104"/>
      <c r="C565" s="36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108"/>
      <c r="Q565" s="149"/>
    </row>
    <row r="566" spans="1:17" x14ac:dyDescent="0.2">
      <c r="A566" s="149"/>
      <c r="B566" s="104"/>
      <c r="C566" s="36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108"/>
      <c r="Q566" s="149"/>
    </row>
    <row r="567" spans="1:17" x14ac:dyDescent="0.2">
      <c r="A567" s="149"/>
      <c r="B567" s="104"/>
      <c r="C567" s="36"/>
      <c r="D567" s="95"/>
      <c r="E567" s="96"/>
      <c r="F567" s="96"/>
      <c r="G567" s="97"/>
      <c r="H567" s="24"/>
      <c r="I567" s="24"/>
      <c r="J567" s="24"/>
      <c r="K567" s="24"/>
      <c r="L567" s="24"/>
      <c r="M567" s="24"/>
      <c r="N567" s="24"/>
      <c r="O567" s="24"/>
      <c r="P567" s="108"/>
      <c r="Q567" s="149"/>
    </row>
    <row r="568" spans="1:17" x14ac:dyDescent="0.2">
      <c r="A568" s="149"/>
      <c r="B568" s="104"/>
      <c r="C568" s="36"/>
      <c r="D568" s="98"/>
      <c r="E568" s="24"/>
      <c r="F568" s="24"/>
      <c r="G568" s="99"/>
      <c r="J568" s="265" t="str">
        <f>IF($E$44="","",VLOOKUP($E$44,Base!$A$3:$GP$3,192,FALSE))</f>
        <v>LIC. JUAN JOSÉ OLIN FABELA</v>
      </c>
      <c r="K568" s="265"/>
      <c r="L568" s="265"/>
      <c r="M568" s="265"/>
      <c r="N568" s="265"/>
      <c r="O568" s="24"/>
      <c r="P568" s="108"/>
      <c r="Q568" s="149"/>
    </row>
    <row r="569" spans="1:17" ht="15.75" x14ac:dyDescent="0.2">
      <c r="A569" s="149"/>
      <c r="B569" s="104"/>
      <c r="D569" s="98"/>
      <c r="E569" s="24"/>
      <c r="F569" s="24"/>
      <c r="G569" s="99"/>
      <c r="J569" s="264" t="s">
        <v>39</v>
      </c>
      <c r="K569" s="274"/>
      <c r="L569" s="274"/>
      <c r="M569" s="274"/>
      <c r="N569" s="274"/>
      <c r="O569" s="67"/>
      <c r="P569" s="108"/>
      <c r="Q569" s="149"/>
    </row>
    <row r="570" spans="1:17" x14ac:dyDescent="0.2">
      <c r="A570" s="149"/>
      <c r="B570" s="104"/>
      <c r="C570" s="36"/>
      <c r="D570" s="98"/>
      <c r="E570" s="24"/>
      <c r="F570" s="24"/>
      <c r="G570" s="99"/>
      <c r="H570" s="24"/>
      <c r="I570" s="24"/>
      <c r="J570" s="24"/>
      <c r="K570" s="24"/>
      <c r="L570" s="24"/>
      <c r="M570" s="24"/>
      <c r="N570" s="24"/>
      <c r="O570" s="24"/>
      <c r="P570" s="108"/>
      <c r="Q570" s="149"/>
    </row>
    <row r="571" spans="1:17" x14ac:dyDescent="0.2">
      <c r="A571" s="149"/>
      <c r="B571" s="104"/>
      <c r="C571" s="36"/>
      <c r="D571" s="98"/>
      <c r="E571" s="24"/>
      <c r="F571" s="24"/>
      <c r="G571" s="99"/>
      <c r="H571" s="24"/>
      <c r="I571" s="24"/>
      <c r="J571" s="24"/>
      <c r="K571" s="24"/>
      <c r="L571" s="24"/>
      <c r="M571" s="24"/>
      <c r="N571" s="24"/>
      <c r="O571" s="24"/>
      <c r="P571" s="108"/>
      <c r="Q571" s="149"/>
    </row>
    <row r="572" spans="1:17" x14ac:dyDescent="0.2">
      <c r="A572" s="149"/>
      <c r="B572" s="104"/>
      <c r="C572" s="36"/>
      <c r="D572" s="98"/>
      <c r="E572" s="24"/>
      <c r="F572" s="24"/>
      <c r="G572" s="99"/>
      <c r="H572" s="24"/>
      <c r="I572" s="24"/>
      <c r="J572" s="265" t="str">
        <f>IF($E$44="","",VLOOKUP($E$44,Base!$A$3:$GP$3,193,FALSE))</f>
        <v>JEFE DE LA UIPPE</v>
      </c>
      <c r="K572" s="265"/>
      <c r="L572" s="265"/>
      <c r="M572" s="265"/>
      <c r="N572" s="265"/>
      <c r="O572" s="24"/>
      <c r="P572" s="108"/>
      <c r="Q572" s="149"/>
    </row>
    <row r="573" spans="1:17" ht="15.75" x14ac:dyDescent="0.2">
      <c r="A573" s="149"/>
      <c r="B573" s="104"/>
      <c r="C573" s="36"/>
      <c r="D573" s="98"/>
      <c r="E573" s="24"/>
      <c r="F573" s="24"/>
      <c r="G573" s="99"/>
      <c r="H573" s="24"/>
      <c r="I573" s="24"/>
      <c r="J573" s="274" t="s">
        <v>380</v>
      </c>
      <c r="K573" s="274"/>
      <c r="L573" s="274"/>
      <c r="M573" s="274"/>
      <c r="N573" s="274"/>
      <c r="O573" s="24"/>
      <c r="P573" s="108"/>
      <c r="Q573" s="149"/>
    </row>
    <row r="574" spans="1:17" x14ac:dyDescent="0.2">
      <c r="A574" s="149"/>
      <c r="B574" s="104"/>
      <c r="C574" s="36"/>
      <c r="D574" s="98"/>
      <c r="E574" s="24"/>
      <c r="F574" s="24"/>
      <c r="G574" s="99"/>
      <c r="H574" s="24"/>
      <c r="I574" s="24"/>
      <c r="J574" s="24"/>
      <c r="K574" s="24"/>
      <c r="L574" s="24"/>
      <c r="M574" s="24"/>
      <c r="N574" s="24"/>
      <c r="O574" s="24"/>
      <c r="P574" s="108"/>
      <c r="Q574" s="149"/>
    </row>
    <row r="575" spans="1:17" ht="16.5" x14ac:dyDescent="0.2">
      <c r="A575" s="149"/>
      <c r="B575" s="104"/>
      <c r="C575" s="100"/>
      <c r="D575" s="98"/>
      <c r="E575" s="24"/>
      <c r="F575" s="24"/>
      <c r="G575" s="99"/>
      <c r="H575" s="24"/>
      <c r="I575" s="24"/>
      <c r="J575" s="24"/>
      <c r="K575" s="24"/>
      <c r="L575" s="24"/>
      <c r="M575" s="24"/>
      <c r="N575" s="24"/>
      <c r="O575" s="24"/>
      <c r="P575" s="108"/>
      <c r="Q575" s="149"/>
    </row>
    <row r="576" spans="1:17" x14ac:dyDescent="0.2">
      <c r="A576" s="149"/>
      <c r="B576" s="104"/>
      <c r="C576" s="24"/>
      <c r="D576" s="98"/>
      <c r="E576" s="24"/>
      <c r="F576" s="24"/>
      <c r="G576" s="99"/>
      <c r="H576" s="24"/>
      <c r="I576" s="24"/>
      <c r="J576" s="265" t="str">
        <f>IF($E$44="","",VLOOKUP($E$44,Base!$A$3:$GP$3,194,FALSE))</f>
        <v>planeacion.evaluacion@umb.mx</v>
      </c>
      <c r="K576" s="265"/>
      <c r="L576" s="265"/>
      <c r="M576" s="265"/>
      <c r="N576" s="265"/>
      <c r="O576" s="24"/>
      <c r="P576" s="108"/>
      <c r="Q576" s="149"/>
    </row>
    <row r="577" spans="1:17" ht="18" x14ac:dyDescent="0.2">
      <c r="A577" s="149"/>
      <c r="B577" s="104"/>
      <c r="C577" s="84"/>
      <c r="D577" s="275" t="s">
        <v>108</v>
      </c>
      <c r="E577" s="276"/>
      <c r="F577" s="276"/>
      <c r="G577" s="277"/>
      <c r="H577" s="24"/>
      <c r="I577" s="24"/>
      <c r="J577" s="274" t="s">
        <v>381</v>
      </c>
      <c r="K577" s="274"/>
      <c r="L577" s="274"/>
      <c r="M577" s="274"/>
      <c r="N577" s="274"/>
      <c r="O577" s="67"/>
      <c r="P577" s="108"/>
      <c r="Q577" s="149"/>
    </row>
    <row r="578" spans="1:17" x14ac:dyDescent="0.2">
      <c r="A578" s="149"/>
      <c r="B578" s="104"/>
      <c r="C578" s="36"/>
      <c r="D578" s="24"/>
      <c r="H578" s="24"/>
      <c r="I578" s="24"/>
      <c r="J578" s="24"/>
      <c r="K578" s="24"/>
      <c r="L578" s="24"/>
      <c r="M578" s="24"/>
      <c r="N578" s="24"/>
      <c r="O578" s="24"/>
      <c r="P578" s="108"/>
      <c r="Q578" s="149"/>
    </row>
    <row r="579" spans="1:17" x14ac:dyDescent="0.2">
      <c r="A579" s="149"/>
      <c r="B579" s="10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108"/>
      <c r="Q579" s="149"/>
    </row>
    <row r="580" spans="1:17" ht="18" x14ac:dyDescent="0.2">
      <c r="A580" s="149"/>
      <c r="B580" s="104"/>
      <c r="C580" s="144"/>
      <c r="D580" s="144"/>
      <c r="H580" s="24"/>
      <c r="I580" s="24"/>
      <c r="J580" s="24"/>
      <c r="K580" s="24"/>
      <c r="L580" s="24"/>
      <c r="M580" s="24"/>
      <c r="N580" s="24"/>
      <c r="O580" s="24"/>
      <c r="P580" s="108"/>
      <c r="Q580" s="149"/>
    </row>
    <row r="581" spans="1:17" x14ac:dyDescent="0.2">
      <c r="A581" s="149"/>
      <c r="B581" s="104"/>
      <c r="C581" s="265" t="str">
        <f>IF($E$44="","",VLOOKUP($E$44,Base!$A$3:$GP$3,195,FALSE))</f>
        <v>M. EN A. URIEL GALICIA HERNÁNDEZ</v>
      </c>
      <c r="D581" s="265"/>
      <c r="E581" s="265"/>
      <c r="F581" s="265"/>
      <c r="G581" s="265"/>
      <c r="H581" s="265"/>
      <c r="I581" s="24"/>
      <c r="J581" s="24"/>
      <c r="K581" s="268" t="s">
        <v>41</v>
      </c>
      <c r="L581" s="268"/>
      <c r="M581" s="39" t="s">
        <v>42</v>
      </c>
      <c r="N581" s="39" t="s">
        <v>43</v>
      </c>
      <c r="O581" s="24"/>
      <c r="P581" s="108"/>
      <c r="Q581" s="149"/>
    </row>
    <row r="582" spans="1:17" ht="15.75" x14ac:dyDescent="0.2">
      <c r="A582" s="149"/>
      <c r="B582" s="104"/>
      <c r="C582" s="264" t="s">
        <v>390</v>
      </c>
      <c r="D582" s="264"/>
      <c r="E582" s="264"/>
      <c r="F582" s="264"/>
      <c r="G582" s="264"/>
      <c r="H582" s="264"/>
      <c r="I582" s="266" t="s">
        <v>40</v>
      </c>
      <c r="J582" s="267"/>
      <c r="K582" s="269">
        <f>IF($E$44="","",VLOOKUP($E$44,Base!$A$3:$GP$3,196,FALSE))</f>
        <v>2013</v>
      </c>
      <c r="L582" s="270"/>
      <c r="M582" s="150">
        <f>IF($E$44="","",VLOOKUP($E$44,Base!$A$3:$GP$3,197,FALSE))</f>
        <v>9</v>
      </c>
      <c r="N582" s="62">
        <f>IF($E$44="","",VLOOKUP($E$44,Base!$A$3:$GP$3,198,FALSE))</f>
        <v>30</v>
      </c>
      <c r="O582" s="24"/>
      <c r="P582" s="108"/>
      <c r="Q582" s="149"/>
    </row>
    <row r="583" spans="1:17" x14ac:dyDescent="0.2">
      <c r="A583" s="149"/>
      <c r="B583" s="104"/>
      <c r="C583" s="36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108"/>
      <c r="Q583" s="149"/>
    </row>
    <row r="584" spans="1:17" ht="15" thickBot="1" x14ac:dyDescent="0.25">
      <c r="A584" s="149"/>
      <c r="B584" s="145"/>
      <c r="C584" s="146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8"/>
      <c r="Q584" s="149"/>
    </row>
  </sheetData>
  <mergeCells count="207">
    <mergeCell ref="C582:H582"/>
    <mergeCell ref="C581:H581"/>
    <mergeCell ref="I582:J582"/>
    <mergeCell ref="K581:L581"/>
    <mergeCell ref="K582:L582"/>
    <mergeCell ref="E44:F44"/>
    <mergeCell ref="C555:D555"/>
    <mergeCell ref="N551:O551"/>
    <mergeCell ref="J568:N568"/>
    <mergeCell ref="J569:N569"/>
    <mergeCell ref="J572:N572"/>
    <mergeCell ref="J573:N573"/>
    <mergeCell ref="J576:N576"/>
    <mergeCell ref="D577:G577"/>
    <mergeCell ref="J577:N577"/>
    <mergeCell ref="N399:O399"/>
    <mergeCell ref="M405:M406"/>
    <mergeCell ref="L405:L406"/>
    <mergeCell ref="K405:K406"/>
    <mergeCell ref="J405:J406"/>
    <mergeCell ref="N436:O436"/>
    <mergeCell ref="N480:O480"/>
    <mergeCell ref="N513:O513"/>
    <mergeCell ref="C533:F534"/>
    <mergeCell ref="M471:N471"/>
    <mergeCell ref="M472:N472"/>
    <mergeCell ref="M474:N474"/>
    <mergeCell ref="C467:F470"/>
    <mergeCell ref="M462:N462"/>
    <mergeCell ref="M463:N463"/>
    <mergeCell ref="M465:N465"/>
    <mergeCell ref="K467:N467"/>
    <mergeCell ref="I468:J469"/>
    <mergeCell ref="K468:K469"/>
    <mergeCell ref="M468:N469"/>
    <mergeCell ref="F40:L40"/>
    <mergeCell ref="F41:L42"/>
    <mergeCell ref="C76:F81"/>
    <mergeCell ref="F184:L184"/>
    <mergeCell ref="F185:L186"/>
    <mergeCell ref="L162:M162"/>
    <mergeCell ref="L163:M163"/>
    <mergeCell ref="L164:M164"/>
    <mergeCell ref="M470:N470"/>
    <mergeCell ref="C451:F454"/>
    <mergeCell ref="C459:F461"/>
    <mergeCell ref="K458:N458"/>
    <mergeCell ref="M459:N460"/>
    <mergeCell ref="I459:J460"/>
    <mergeCell ref="K459:K460"/>
    <mergeCell ref="M461:N461"/>
    <mergeCell ref="N442:N443"/>
    <mergeCell ref="J404:N404"/>
    <mergeCell ref="K441:N441"/>
    <mergeCell ref="J425:K425"/>
    <mergeCell ref="J429:K429"/>
    <mergeCell ref="C442:F445"/>
    <mergeCell ref="J420:K420"/>
    <mergeCell ref="J421:K421"/>
    <mergeCell ref="C529:F531"/>
    <mergeCell ref="C517:F519"/>
    <mergeCell ref="K517:N517"/>
    <mergeCell ref="C522:F525"/>
    <mergeCell ref="C485:F486"/>
    <mergeCell ref="I487:O487"/>
    <mergeCell ref="I488:I489"/>
    <mergeCell ref="J488:J489"/>
    <mergeCell ref="K488:K489"/>
    <mergeCell ref="L488:L489"/>
    <mergeCell ref="M488:M489"/>
    <mergeCell ref="N488:N489"/>
    <mergeCell ref="O488:O489"/>
    <mergeCell ref="N518:N519"/>
    <mergeCell ref="J422:K422"/>
    <mergeCell ref="J423:K423"/>
    <mergeCell ref="J424:K424"/>
    <mergeCell ref="C404:F407"/>
    <mergeCell ref="N405:N406"/>
    <mergeCell ref="C418:F419"/>
    <mergeCell ref="J418:K419"/>
    <mergeCell ref="H418:H419"/>
    <mergeCell ref="C353:O354"/>
    <mergeCell ref="C355:O356"/>
    <mergeCell ref="C368:F370"/>
    <mergeCell ref="C383:F386"/>
    <mergeCell ref="L382:L383"/>
    <mergeCell ref="M382:O383"/>
    <mergeCell ref="F330:L330"/>
    <mergeCell ref="E338:H338"/>
    <mergeCell ref="F331:L331"/>
    <mergeCell ref="F332:L333"/>
    <mergeCell ref="N362:O362"/>
    <mergeCell ref="I382:J383"/>
    <mergeCell ref="C296:F298"/>
    <mergeCell ref="I271:K271"/>
    <mergeCell ref="L271:O271"/>
    <mergeCell ref="I296:K296"/>
    <mergeCell ref="L296:O296"/>
    <mergeCell ref="I297:I298"/>
    <mergeCell ref="J297:J298"/>
    <mergeCell ref="K297:K298"/>
    <mergeCell ref="L297:L298"/>
    <mergeCell ref="M297:M298"/>
    <mergeCell ref="N297:N298"/>
    <mergeCell ref="O297:O298"/>
    <mergeCell ref="H297:H298"/>
    <mergeCell ref="C272:F275"/>
    <mergeCell ref="H272:H273"/>
    <mergeCell ref="I272:I273"/>
    <mergeCell ref="J272:J273"/>
    <mergeCell ref="K272:K273"/>
    <mergeCell ref="L272:L273"/>
    <mergeCell ref="M272:M273"/>
    <mergeCell ref="N272:N273"/>
    <mergeCell ref="O272:O273"/>
    <mergeCell ref="C266:F267"/>
    <mergeCell ref="L245:M245"/>
    <mergeCell ref="N245:O245"/>
    <mergeCell ref="L246:M246"/>
    <mergeCell ref="N246:O246"/>
    <mergeCell ref="L248:M248"/>
    <mergeCell ref="N248:O248"/>
    <mergeCell ref="O259:O260"/>
    <mergeCell ref="H268:K269"/>
    <mergeCell ref="L227:M228"/>
    <mergeCell ref="N227:O228"/>
    <mergeCell ref="N229:O229"/>
    <mergeCell ref="L229:M229"/>
    <mergeCell ref="J233:K233"/>
    <mergeCell ref="L233:M233"/>
    <mergeCell ref="N233:O233"/>
    <mergeCell ref="C257:F258"/>
    <mergeCell ref="C259:F264"/>
    <mergeCell ref="L244:M244"/>
    <mergeCell ref="N244:O244"/>
    <mergeCell ref="K44:L44"/>
    <mergeCell ref="I47:J47"/>
    <mergeCell ref="C64:O64"/>
    <mergeCell ref="C65:O65"/>
    <mergeCell ref="C73:H74"/>
    <mergeCell ref="N96:N97"/>
    <mergeCell ref="C111:F113"/>
    <mergeCell ref="K442:K443"/>
    <mergeCell ref="L442:L443"/>
    <mergeCell ref="M442:M443"/>
    <mergeCell ref="C115:F118"/>
    <mergeCell ref="J87:L88"/>
    <mergeCell ref="C96:F99"/>
    <mergeCell ref="C101:F102"/>
    <mergeCell ref="O113:O114"/>
    <mergeCell ref="H123:K126"/>
    <mergeCell ref="L151:M151"/>
    <mergeCell ref="L152:M152"/>
    <mergeCell ref="L153:M153"/>
    <mergeCell ref="L154:M154"/>
    <mergeCell ref="L160:M160"/>
    <mergeCell ref="L161:M161"/>
    <mergeCell ref="J225:O225"/>
    <mergeCell ref="C237:F241"/>
    <mergeCell ref="H221:J223"/>
    <mergeCell ref="L221:M221"/>
    <mergeCell ref="J229:K229"/>
    <mergeCell ref="C228:F232"/>
    <mergeCell ref="C225:F226"/>
    <mergeCell ref="L243:M243"/>
    <mergeCell ref="N243:O243"/>
    <mergeCell ref="L242:M242"/>
    <mergeCell ref="N242:O242"/>
    <mergeCell ref="L237:M238"/>
    <mergeCell ref="N237:O238"/>
    <mergeCell ref="L239:M239"/>
    <mergeCell ref="N239:O239"/>
    <mergeCell ref="L240:M240"/>
    <mergeCell ref="N240:O240"/>
    <mergeCell ref="L241:M241"/>
    <mergeCell ref="N241:O241"/>
    <mergeCell ref="J230:K230"/>
    <mergeCell ref="L230:M230"/>
    <mergeCell ref="N230:O230"/>
    <mergeCell ref="J231:K231"/>
    <mergeCell ref="L231:M231"/>
    <mergeCell ref="N231:O231"/>
    <mergeCell ref="J227:K228"/>
    <mergeCell ref="C536:F539"/>
    <mergeCell ref="C17:O17"/>
    <mergeCell ref="C19:O19"/>
    <mergeCell ref="H127:K130"/>
    <mergeCell ref="C120:F121"/>
    <mergeCell ref="F39:L39"/>
    <mergeCell ref="C122:F124"/>
    <mergeCell ref="C159:F160"/>
    <mergeCell ref="L159:M159"/>
    <mergeCell ref="K133:M133"/>
    <mergeCell ref="C133:F136"/>
    <mergeCell ref="C150:F151"/>
    <mergeCell ref="L156:M156"/>
    <mergeCell ref="L150:M150"/>
    <mergeCell ref="J77:L78"/>
    <mergeCell ref="K518:K519"/>
    <mergeCell ref="L518:L519"/>
    <mergeCell ref="M518:M519"/>
    <mergeCell ref="L166:M166"/>
    <mergeCell ref="C208:O209"/>
    <mergeCell ref="C210:O211"/>
    <mergeCell ref="F183:L183"/>
    <mergeCell ref="E191:H191"/>
    <mergeCell ref="C220:F222"/>
  </mergeCells>
  <pageMargins left="0.2" right="0.35433070866141736" top="0.43307086614173229" bottom="0.47244094488188981" header="0.31496062992125984" footer="0.31496062992125984"/>
  <pageSetup paperSize="9" scale="90" orientation="landscape" horizontalDpi="300" verticalDpi="300" r:id="rId1"/>
  <rowBreaks count="15" manualBreakCount="15">
    <brk id="35" max="16383" man="1"/>
    <brk id="68" max="16383" man="1"/>
    <brk id="106" max="16383" man="1"/>
    <brk id="143" max="16383" man="1"/>
    <brk id="179" max="16383" man="1"/>
    <brk id="213" max="16383" man="1"/>
    <brk id="252" max="16383" man="1"/>
    <brk id="291" max="16383" man="1"/>
    <brk id="326" max="16383" man="1"/>
    <brk id="359" max="16383" man="1"/>
    <brk id="396" max="16383" man="1"/>
    <brk id="433" max="16383" man="1"/>
    <brk id="477" max="16383" man="1"/>
    <brk id="510" max="16383" man="1"/>
    <brk id="548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Base!$A$3:$A$40</xm:f>
          </x14:formula1>
          <xm:sqref>E44</xm:sqref>
        </x14:dataValidation>
        <x14:dataValidation type="list" allowBlank="1" showInputMessage="1" showErrorMessage="1">
          <x14:formula1>
            <xm:f>Base!#REF!</xm:f>
          </x14:formula1>
          <xm:sqref>K44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P37"/>
  <sheetViews>
    <sheetView topLeftCell="U1" zoomScaleNormal="100" workbookViewId="0">
      <selection activeCell="Y3" sqref="Y3"/>
    </sheetView>
  </sheetViews>
  <sheetFormatPr baseColWidth="10" defaultRowHeight="15" x14ac:dyDescent="0.25"/>
  <cols>
    <col min="2" max="2" width="14.85546875" customWidth="1"/>
    <col min="9" max="9" width="12" bestFit="1" customWidth="1"/>
    <col min="10" max="10" width="6.28515625" bestFit="1" customWidth="1"/>
    <col min="12" max="12" width="12" bestFit="1" customWidth="1"/>
    <col min="13" max="13" width="9.28515625" bestFit="1" customWidth="1"/>
    <col min="14" max="14" width="9.5703125" bestFit="1" customWidth="1"/>
    <col min="15" max="15" width="8.5703125" bestFit="1" customWidth="1"/>
    <col min="16" max="16" width="9.5703125" bestFit="1" customWidth="1"/>
    <col min="17" max="17" width="8.5703125" bestFit="1" customWidth="1"/>
    <col min="18" max="18" width="11.42578125" bestFit="1" customWidth="1"/>
    <col min="19" max="20" width="11.42578125" customWidth="1"/>
    <col min="21" max="21" width="15.42578125" customWidth="1"/>
    <col min="23" max="23" width="16.42578125" customWidth="1"/>
    <col min="24" max="24" width="13.42578125" bestFit="1" customWidth="1"/>
    <col min="25" max="25" width="14.42578125" customWidth="1"/>
    <col min="26" max="28" width="5" customWidth="1"/>
    <col min="29" max="31" width="6.28515625" customWidth="1"/>
    <col min="32" max="34" width="4.5703125" customWidth="1"/>
    <col min="35" max="37" width="4.28515625" customWidth="1"/>
    <col min="38" max="40" width="4" customWidth="1"/>
    <col min="41" max="43" width="5.42578125" customWidth="1"/>
    <col min="44" max="46" width="4.42578125" customWidth="1"/>
    <col min="47" max="49" width="5.5703125" customWidth="1"/>
    <col min="50" max="52" width="4.28515625" customWidth="1"/>
    <col min="53" max="55" width="4.42578125" customWidth="1"/>
    <col min="56" max="56" width="9.28515625" bestFit="1" customWidth="1"/>
    <col min="57" max="58" width="14.42578125" customWidth="1"/>
    <col min="59" max="59" width="16.5703125" customWidth="1"/>
    <col min="60" max="60" width="17.5703125" customWidth="1"/>
    <col min="61" max="61" width="15" customWidth="1"/>
    <col min="62" max="62" width="14.42578125" customWidth="1"/>
    <col min="63" max="63" width="12.140625" bestFit="1" customWidth="1"/>
    <col min="64" max="64" width="11.85546875" bestFit="1" customWidth="1"/>
    <col min="65" max="65" width="6.7109375" bestFit="1" customWidth="1"/>
    <col min="66" max="66" width="4.7109375" customWidth="1"/>
    <col min="67" max="67" width="10" bestFit="1" customWidth="1"/>
    <col min="68" max="68" width="10" customWidth="1"/>
    <col min="69" max="69" width="7.5703125" bestFit="1" customWidth="1"/>
    <col min="70" max="70" width="11.42578125" bestFit="1" customWidth="1"/>
    <col min="71" max="71" width="4.7109375" bestFit="1" customWidth="1"/>
    <col min="72" max="72" width="10" customWidth="1"/>
    <col min="73" max="73" width="9.42578125" bestFit="1" customWidth="1"/>
    <col min="74" max="74" width="9.7109375" bestFit="1" customWidth="1"/>
    <col min="75" max="75" width="6.42578125" bestFit="1" customWidth="1"/>
    <col min="76" max="76" width="13.5703125" bestFit="1" customWidth="1"/>
    <col min="77" max="77" width="8.42578125" bestFit="1" customWidth="1"/>
    <col min="78" max="78" width="6.42578125" bestFit="1" customWidth="1"/>
    <col min="79" max="79" width="7.140625" bestFit="1" customWidth="1"/>
    <col min="80" max="80" width="6.5703125" bestFit="1" customWidth="1"/>
    <col min="81" max="81" width="2.85546875" bestFit="1" customWidth="1"/>
    <col min="82" max="82" width="8.140625" customWidth="1"/>
    <col min="83" max="83" width="7.140625" bestFit="1" customWidth="1"/>
    <col min="84" max="84" width="6.5703125" bestFit="1" customWidth="1"/>
    <col min="85" max="85" width="2.85546875" bestFit="1" customWidth="1"/>
    <col min="86" max="86" width="6.42578125" bestFit="1" customWidth="1"/>
    <col min="87" max="87" width="7.140625" bestFit="1" customWidth="1"/>
    <col min="88" max="88" width="6.5703125" bestFit="1" customWidth="1"/>
    <col min="89" max="89" width="2.85546875" bestFit="1" customWidth="1"/>
    <col min="90" max="90" width="6.42578125" bestFit="1" customWidth="1"/>
    <col min="91" max="91" width="7.140625" bestFit="1" customWidth="1"/>
    <col min="92" max="92" width="6.5703125" bestFit="1" customWidth="1"/>
    <col min="93" max="93" width="2.85546875" bestFit="1" customWidth="1"/>
    <col min="94" max="94" width="6.42578125" bestFit="1" customWidth="1"/>
    <col min="95" max="95" width="7.140625" bestFit="1" customWidth="1"/>
    <col min="96" max="96" width="6.5703125" bestFit="1" customWidth="1"/>
    <col min="97" max="97" width="2.85546875" bestFit="1" customWidth="1"/>
    <col min="98" max="98" width="6.7109375" customWidth="1"/>
    <col min="99" max="99" width="4.7109375" bestFit="1" customWidth="1"/>
    <col min="100" max="100" width="7.85546875" bestFit="1" customWidth="1"/>
    <col min="101" max="101" width="6.85546875" bestFit="1" customWidth="1"/>
    <col min="102" max="102" width="6.5703125" bestFit="1" customWidth="1"/>
    <col min="103" max="103" width="4.7109375" bestFit="1" customWidth="1"/>
    <col min="104" max="104" width="8.7109375" bestFit="1" customWidth="1"/>
    <col min="105" max="105" width="7.140625" bestFit="1" customWidth="1"/>
    <col min="106" max="106" width="6.5703125" bestFit="1" customWidth="1"/>
    <col min="107" max="107" width="4.42578125" customWidth="1"/>
    <col min="108" max="108" width="7.140625" bestFit="1" customWidth="1"/>
    <col min="109" max="109" width="6.5703125" bestFit="1" customWidth="1"/>
    <col min="110" max="110" width="3.5703125" bestFit="1" customWidth="1"/>
    <col min="111" max="111" width="7.140625" bestFit="1" customWidth="1"/>
    <col min="112" max="112" width="6.5703125" bestFit="1" customWidth="1"/>
    <col min="113" max="113" width="2.85546875" bestFit="1" customWidth="1"/>
    <col min="114" max="114" width="7.140625" bestFit="1" customWidth="1"/>
    <col min="115" max="115" width="6.5703125" bestFit="1" customWidth="1"/>
    <col min="116" max="116" width="2.85546875" bestFit="1" customWidth="1"/>
    <col min="117" max="117" width="7.28515625" customWidth="1"/>
    <col min="118" max="118" width="6.5703125" bestFit="1" customWidth="1"/>
    <col min="119" max="119" width="4.5703125" customWidth="1"/>
    <col min="120" max="120" width="7.140625" bestFit="1" customWidth="1"/>
    <col min="121" max="121" width="6.5703125" bestFit="1" customWidth="1"/>
    <col min="122" max="122" width="2.85546875" bestFit="1" customWidth="1"/>
    <col min="123" max="123" width="7.140625" bestFit="1" customWidth="1"/>
    <col min="124" max="124" width="6.5703125" bestFit="1" customWidth="1"/>
    <col min="125" max="125" width="2.85546875" bestFit="1" customWidth="1"/>
    <col min="126" max="126" width="7.140625" bestFit="1" customWidth="1"/>
    <col min="127" max="127" width="6.5703125" bestFit="1" customWidth="1"/>
    <col min="128" max="128" width="2.85546875" bestFit="1" customWidth="1"/>
    <col min="129" max="129" width="7.28515625" bestFit="1" customWidth="1"/>
    <col min="130" max="130" width="5.5703125" bestFit="1" customWidth="1"/>
    <col min="131" max="131" width="7.42578125" bestFit="1" customWidth="1"/>
    <col min="132" max="132" width="7.28515625" bestFit="1" customWidth="1"/>
    <col min="133" max="133" width="5.5703125" bestFit="1" customWidth="1"/>
    <col min="134" max="134" width="7.42578125" bestFit="1" customWidth="1"/>
    <col min="135" max="135" width="7.28515625" bestFit="1" customWidth="1"/>
    <col min="136" max="136" width="5.5703125" bestFit="1" customWidth="1"/>
    <col min="137" max="137" width="7.42578125" bestFit="1" customWidth="1"/>
    <col min="138" max="138" width="7.28515625" bestFit="1" customWidth="1"/>
    <col min="139" max="139" width="5.5703125" bestFit="1" customWidth="1"/>
    <col min="140" max="140" width="7.42578125" bestFit="1" customWidth="1"/>
    <col min="141" max="141" width="9.85546875" customWidth="1"/>
    <col min="142" max="142" width="6.85546875" bestFit="1" customWidth="1"/>
    <col min="143" max="143" width="10.28515625" bestFit="1" customWidth="1"/>
    <col min="144" max="144" width="7.85546875" bestFit="1" customWidth="1"/>
    <col min="145" max="145" width="6.28515625" bestFit="1" customWidth="1"/>
    <col min="146" max="146" width="4" bestFit="1" customWidth="1"/>
    <col min="147" max="147" width="10" customWidth="1"/>
    <col min="148" max="148" width="6.85546875" bestFit="1" customWidth="1"/>
    <col min="149" max="149" width="10.28515625" bestFit="1" customWidth="1"/>
    <col min="150" max="150" width="7.85546875" bestFit="1" customWidth="1"/>
    <col min="151" max="151" width="6.28515625" bestFit="1" customWidth="1"/>
    <col min="152" max="152" width="4" bestFit="1" customWidth="1"/>
    <col min="153" max="153" width="10" customWidth="1"/>
    <col min="154" max="154" width="6.85546875" bestFit="1" customWidth="1"/>
    <col min="155" max="155" width="10.28515625" bestFit="1" customWidth="1"/>
    <col min="156" max="156" width="7.85546875" bestFit="1" customWidth="1"/>
    <col min="157" max="157" width="6.28515625" bestFit="1" customWidth="1"/>
    <col min="158" max="158" width="4" bestFit="1" customWidth="1"/>
    <col min="159" max="159" width="10" bestFit="1" customWidth="1"/>
    <col min="160" max="160" width="6.85546875" bestFit="1" customWidth="1"/>
    <col min="161" max="161" width="10.28515625" bestFit="1" customWidth="1"/>
    <col min="162" max="162" width="7.85546875" bestFit="1" customWidth="1"/>
    <col min="163" max="163" width="6.28515625" bestFit="1" customWidth="1"/>
    <col min="164" max="164" width="4" bestFit="1" customWidth="1"/>
    <col min="165" max="165" width="10" bestFit="1" customWidth="1"/>
    <col min="166" max="166" width="6.85546875" bestFit="1" customWidth="1"/>
    <col min="167" max="167" width="10.28515625" bestFit="1" customWidth="1"/>
    <col min="168" max="168" width="7.85546875" bestFit="1" customWidth="1"/>
    <col min="169" max="169" width="6.28515625" bestFit="1" customWidth="1"/>
    <col min="170" max="170" width="4" bestFit="1" customWidth="1"/>
    <col min="171" max="171" width="8.85546875" customWidth="1"/>
    <col min="172" max="172" width="9.140625" bestFit="1" customWidth="1"/>
    <col min="173" max="173" width="9.7109375" bestFit="1" customWidth="1"/>
    <col min="174" max="174" width="7.28515625" bestFit="1" customWidth="1"/>
    <col min="175" max="175" width="7.5703125" bestFit="1" customWidth="1"/>
    <col min="176" max="176" width="8.140625" bestFit="1" customWidth="1"/>
    <col min="177" max="177" width="6.28515625" bestFit="1" customWidth="1"/>
    <col min="178" max="178" width="6.5703125" bestFit="1" customWidth="1"/>
    <col min="179" max="179" width="7.140625" bestFit="1" customWidth="1"/>
    <col min="180" max="180" width="8.5703125" bestFit="1" customWidth="1"/>
    <col min="181" max="181" width="8.85546875" bestFit="1" customWidth="1"/>
    <col min="182" max="182" width="9.28515625" bestFit="1" customWidth="1"/>
    <col min="183" max="183" width="10.7109375" bestFit="1" customWidth="1"/>
    <col min="184" max="184" width="11" bestFit="1" customWidth="1"/>
    <col min="185" max="185" width="11.42578125" bestFit="1" customWidth="1"/>
    <col min="186" max="186" width="6" bestFit="1" customWidth="1"/>
    <col min="187" max="187" width="6.28515625" bestFit="1" customWidth="1"/>
    <col min="188" max="188" width="6.7109375" bestFit="1" customWidth="1"/>
    <col min="189" max="191" width="10.7109375" bestFit="1" customWidth="1"/>
  </cols>
  <sheetData>
    <row r="1" spans="1:198" s="1" customFormat="1" ht="25.5" customHeight="1" x14ac:dyDescent="0.25">
      <c r="A1" s="286" t="s">
        <v>2</v>
      </c>
      <c r="B1" s="286" t="s">
        <v>189</v>
      </c>
      <c r="C1" s="286" t="s">
        <v>181</v>
      </c>
      <c r="D1" s="286" t="s">
        <v>111</v>
      </c>
      <c r="E1" s="286" t="s">
        <v>112</v>
      </c>
      <c r="F1" s="286" t="s">
        <v>113</v>
      </c>
      <c r="G1" s="286" t="s">
        <v>114</v>
      </c>
      <c r="H1" s="286" t="s">
        <v>182</v>
      </c>
      <c r="I1" s="286" t="s">
        <v>115</v>
      </c>
      <c r="J1" s="286" t="s">
        <v>3</v>
      </c>
      <c r="K1" s="286" t="s">
        <v>183</v>
      </c>
      <c r="L1" s="286" t="s">
        <v>184</v>
      </c>
      <c r="M1" s="286" t="s">
        <v>185</v>
      </c>
      <c r="N1" s="286" t="s">
        <v>4</v>
      </c>
      <c r="O1" s="286" t="s">
        <v>186</v>
      </c>
      <c r="P1" s="286" t="s">
        <v>6</v>
      </c>
      <c r="Q1" s="286" t="s">
        <v>187</v>
      </c>
      <c r="R1" s="286" t="s">
        <v>188</v>
      </c>
      <c r="S1" s="286" t="s">
        <v>269</v>
      </c>
      <c r="T1" s="286" t="s">
        <v>270</v>
      </c>
      <c r="U1" s="286" t="s">
        <v>190</v>
      </c>
      <c r="V1" s="286" t="s">
        <v>191</v>
      </c>
      <c r="W1" s="286" t="s">
        <v>192</v>
      </c>
      <c r="X1" s="6" t="s">
        <v>10</v>
      </c>
      <c r="Y1" s="280" t="s">
        <v>12</v>
      </c>
      <c r="Z1" s="286" t="s">
        <v>201</v>
      </c>
      <c r="AA1" s="286"/>
      <c r="AB1" s="286"/>
      <c r="AC1" s="286" t="s">
        <v>202</v>
      </c>
      <c r="AD1" s="286"/>
      <c r="AE1" s="286"/>
      <c r="AF1" s="286" t="s">
        <v>203</v>
      </c>
      <c r="AG1" s="286"/>
      <c r="AH1" s="286"/>
      <c r="AI1" s="286" t="s">
        <v>204</v>
      </c>
      <c r="AJ1" s="286"/>
      <c r="AK1" s="286"/>
      <c r="AL1" s="286" t="s">
        <v>205</v>
      </c>
      <c r="AM1" s="286"/>
      <c r="AN1" s="286"/>
      <c r="AO1" s="286" t="s">
        <v>206</v>
      </c>
      <c r="AP1" s="286"/>
      <c r="AQ1" s="286"/>
      <c r="AR1" s="286" t="s">
        <v>207</v>
      </c>
      <c r="AS1" s="286"/>
      <c r="AT1" s="286"/>
      <c r="AU1" s="286" t="s">
        <v>208</v>
      </c>
      <c r="AV1" s="286"/>
      <c r="AW1" s="286"/>
      <c r="AX1" s="286" t="s">
        <v>209</v>
      </c>
      <c r="AY1" s="286"/>
      <c r="AZ1" s="286"/>
      <c r="BA1" s="286" t="s">
        <v>210</v>
      </c>
      <c r="BB1" s="286"/>
      <c r="BC1" s="286"/>
      <c r="BD1" s="282" t="s">
        <v>28</v>
      </c>
      <c r="BE1" s="283"/>
      <c r="BF1" s="283"/>
      <c r="BG1" s="283"/>
      <c r="BH1" s="283"/>
      <c r="BI1" s="283"/>
      <c r="BJ1" s="284"/>
      <c r="BK1" s="282" t="s">
        <v>36</v>
      </c>
      <c r="BL1" s="283"/>
      <c r="BM1" s="283"/>
      <c r="BN1" s="284"/>
      <c r="BO1" s="286" t="s">
        <v>219</v>
      </c>
      <c r="BP1" s="286"/>
      <c r="BQ1" s="286"/>
      <c r="BR1" s="286"/>
      <c r="BS1" s="286"/>
      <c r="BT1" s="285" t="s">
        <v>152</v>
      </c>
      <c r="BU1" s="285"/>
      <c r="BV1" s="285"/>
      <c r="BW1" s="285"/>
      <c r="BX1" s="285"/>
      <c r="BY1" s="285"/>
      <c r="BZ1" s="280" t="s">
        <v>157</v>
      </c>
      <c r="CA1" s="280"/>
      <c r="CB1" s="280"/>
      <c r="CC1" s="280"/>
      <c r="CD1" s="287" t="s">
        <v>156</v>
      </c>
      <c r="CE1" s="288"/>
      <c r="CF1" s="288"/>
      <c r="CG1" s="288"/>
      <c r="CH1" s="285" t="s">
        <v>159</v>
      </c>
      <c r="CI1" s="285"/>
      <c r="CJ1" s="285"/>
      <c r="CK1" s="285"/>
      <c r="CL1" s="285" t="s">
        <v>158</v>
      </c>
      <c r="CM1" s="285"/>
      <c r="CN1" s="285"/>
      <c r="CO1" s="285"/>
      <c r="CP1" s="287" t="s">
        <v>26</v>
      </c>
      <c r="CQ1" s="288"/>
      <c r="CR1" s="288"/>
      <c r="CS1" s="288"/>
      <c r="CT1" s="285" t="s">
        <v>280</v>
      </c>
      <c r="CU1" s="285"/>
      <c r="CV1" s="285"/>
      <c r="CW1" s="285"/>
      <c r="CX1" s="285"/>
      <c r="CY1" s="285"/>
      <c r="CZ1" s="285"/>
      <c r="DA1" s="285" t="s">
        <v>282</v>
      </c>
      <c r="DB1" s="285"/>
      <c r="DC1" s="285"/>
      <c r="DD1" s="285" t="s">
        <v>283</v>
      </c>
      <c r="DE1" s="285"/>
      <c r="DF1" s="285"/>
      <c r="DG1" s="285" t="s">
        <v>284</v>
      </c>
      <c r="DH1" s="285"/>
      <c r="DI1" s="285"/>
      <c r="DJ1" s="285" t="s">
        <v>285</v>
      </c>
      <c r="DK1" s="285"/>
      <c r="DL1" s="285"/>
      <c r="DM1" s="285" t="s">
        <v>286</v>
      </c>
      <c r="DN1" s="285"/>
      <c r="DO1" s="285"/>
      <c r="DP1" s="285" t="s">
        <v>287</v>
      </c>
      <c r="DQ1" s="285"/>
      <c r="DR1" s="285"/>
      <c r="DS1" s="285" t="s">
        <v>288</v>
      </c>
      <c r="DT1" s="285"/>
      <c r="DU1" s="285"/>
      <c r="DV1" s="285" t="s">
        <v>289</v>
      </c>
      <c r="DW1" s="285"/>
      <c r="DX1" s="285"/>
      <c r="DY1" s="285" t="s">
        <v>290</v>
      </c>
      <c r="DZ1" s="285"/>
      <c r="EA1" s="285"/>
      <c r="EB1" s="282" t="s">
        <v>291</v>
      </c>
      <c r="EC1" s="283"/>
      <c r="ED1" s="284"/>
      <c r="EE1" s="285" t="s">
        <v>292</v>
      </c>
      <c r="EF1" s="285"/>
      <c r="EG1" s="285"/>
      <c r="EH1" s="282" t="s">
        <v>293</v>
      </c>
      <c r="EI1" s="283"/>
      <c r="EJ1" s="284"/>
      <c r="EK1" s="286" t="s">
        <v>296</v>
      </c>
      <c r="EL1" s="286"/>
      <c r="EM1" s="286"/>
      <c r="EN1" s="286"/>
      <c r="EO1" s="286"/>
      <c r="EP1" s="286"/>
      <c r="EQ1" s="286" t="s">
        <v>297</v>
      </c>
      <c r="ER1" s="286"/>
      <c r="ES1" s="286"/>
      <c r="ET1" s="286"/>
      <c r="EU1" s="286"/>
      <c r="EV1" s="286"/>
      <c r="EW1" s="286" t="s">
        <v>298</v>
      </c>
      <c r="EX1" s="286"/>
      <c r="EY1" s="286"/>
      <c r="EZ1" s="286"/>
      <c r="FA1" s="286"/>
      <c r="FB1" s="286"/>
      <c r="FC1" s="286" t="s">
        <v>299</v>
      </c>
      <c r="FD1" s="286"/>
      <c r="FE1" s="286"/>
      <c r="FF1" s="286"/>
      <c r="FG1" s="286"/>
      <c r="FH1" s="286"/>
      <c r="FI1" s="286" t="s">
        <v>300</v>
      </c>
      <c r="FJ1" s="286"/>
      <c r="FK1" s="286"/>
      <c r="FL1" s="286"/>
      <c r="FM1" s="286"/>
      <c r="FN1" s="286"/>
      <c r="FO1" s="287" t="s">
        <v>301</v>
      </c>
      <c r="FP1" s="288"/>
      <c r="FQ1" s="288"/>
      <c r="FR1" s="288"/>
      <c r="FS1" s="288"/>
      <c r="FT1" s="288"/>
      <c r="FU1" s="288"/>
      <c r="FV1" s="288"/>
      <c r="FW1" s="288"/>
      <c r="FX1" s="288"/>
      <c r="FY1" s="288"/>
      <c r="FZ1" s="288"/>
      <c r="GA1" s="288"/>
      <c r="GB1" s="288"/>
      <c r="GC1" s="288"/>
      <c r="GD1" s="288"/>
      <c r="GE1" s="288"/>
      <c r="GF1" s="288"/>
      <c r="GG1" s="288"/>
      <c r="GJ1" s="286" t="s">
        <v>382</v>
      </c>
      <c r="GK1" s="286" t="s">
        <v>380</v>
      </c>
      <c r="GL1" s="286" t="s">
        <v>383</v>
      </c>
      <c r="GM1" s="286" t="s">
        <v>384</v>
      </c>
      <c r="GN1" s="286" t="s">
        <v>40</v>
      </c>
      <c r="GO1" s="286"/>
      <c r="GP1" s="286"/>
    </row>
    <row r="2" spans="1:198" s="4" customFormat="1" ht="33.75" x14ac:dyDescent="0.2">
      <c r="A2" s="286"/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" t="s">
        <v>119</v>
      </c>
      <c r="Y2" s="281"/>
      <c r="Z2" s="2" t="s">
        <v>193</v>
      </c>
      <c r="AA2" s="2" t="s">
        <v>194</v>
      </c>
      <c r="AB2" s="3" t="s">
        <v>195</v>
      </c>
      <c r="AC2" s="2" t="s">
        <v>193</v>
      </c>
      <c r="AD2" s="2" t="s">
        <v>194</v>
      </c>
      <c r="AE2" s="3" t="s">
        <v>195</v>
      </c>
      <c r="AF2" s="2" t="s">
        <v>193</v>
      </c>
      <c r="AG2" s="2" t="s">
        <v>194</v>
      </c>
      <c r="AH2" s="3" t="s">
        <v>195</v>
      </c>
      <c r="AI2" s="2" t="s">
        <v>193</v>
      </c>
      <c r="AJ2" s="2" t="s">
        <v>194</v>
      </c>
      <c r="AK2" s="3" t="s">
        <v>195</v>
      </c>
      <c r="AL2" s="2" t="s">
        <v>193</v>
      </c>
      <c r="AM2" s="2" t="s">
        <v>194</v>
      </c>
      <c r="AN2" s="3" t="s">
        <v>195</v>
      </c>
      <c r="AO2" s="2" t="s">
        <v>193</v>
      </c>
      <c r="AP2" s="2" t="s">
        <v>194</v>
      </c>
      <c r="AQ2" s="3" t="s">
        <v>195</v>
      </c>
      <c r="AR2" s="2" t="s">
        <v>193</v>
      </c>
      <c r="AS2" s="2" t="s">
        <v>194</v>
      </c>
      <c r="AT2" s="3" t="s">
        <v>195</v>
      </c>
      <c r="AU2" s="2" t="s">
        <v>193</v>
      </c>
      <c r="AV2" s="2" t="s">
        <v>194</v>
      </c>
      <c r="AW2" s="3" t="s">
        <v>195</v>
      </c>
      <c r="AX2" s="2" t="s">
        <v>193</v>
      </c>
      <c r="AY2" s="2" t="s">
        <v>194</v>
      </c>
      <c r="AZ2" s="3" t="s">
        <v>195</v>
      </c>
      <c r="BA2" s="2" t="s">
        <v>193</v>
      </c>
      <c r="BB2" s="2" t="s">
        <v>194</v>
      </c>
      <c r="BC2" s="3" t="s">
        <v>195</v>
      </c>
      <c r="BD2" s="3" t="s">
        <v>211</v>
      </c>
      <c r="BE2" s="3" t="s">
        <v>212</v>
      </c>
      <c r="BF2" s="3" t="s">
        <v>213</v>
      </c>
      <c r="BG2" s="3" t="s">
        <v>214</v>
      </c>
      <c r="BH2" s="3" t="s">
        <v>215</v>
      </c>
      <c r="BI2" s="3" t="s">
        <v>216</v>
      </c>
      <c r="BJ2" s="3" t="s">
        <v>217</v>
      </c>
      <c r="BK2" s="3" t="s">
        <v>122</v>
      </c>
      <c r="BL2" s="3" t="s">
        <v>218</v>
      </c>
      <c r="BM2" s="3" t="s">
        <v>124</v>
      </c>
      <c r="BN2" s="3" t="s">
        <v>26</v>
      </c>
      <c r="BO2" s="3" t="s">
        <v>29</v>
      </c>
      <c r="BP2" s="3" t="s">
        <v>125</v>
      </c>
      <c r="BQ2" s="3" t="s">
        <v>5</v>
      </c>
      <c r="BR2" s="3" t="s">
        <v>126</v>
      </c>
      <c r="BS2" s="15" t="s">
        <v>26</v>
      </c>
      <c r="BT2" s="15" t="s">
        <v>275</v>
      </c>
      <c r="BU2" s="15" t="s">
        <v>276</v>
      </c>
      <c r="BV2" s="15" t="s">
        <v>277</v>
      </c>
      <c r="BW2" s="15" t="s">
        <v>158</v>
      </c>
      <c r="BX2" s="15" t="s">
        <v>278</v>
      </c>
      <c r="BY2" s="15" t="s">
        <v>279</v>
      </c>
      <c r="BZ2" s="2" t="s">
        <v>89</v>
      </c>
      <c r="CA2" s="2" t="s">
        <v>18</v>
      </c>
      <c r="CB2" s="2" t="s">
        <v>19</v>
      </c>
      <c r="CC2" s="2" t="s">
        <v>195</v>
      </c>
      <c r="CD2" s="2" t="s">
        <v>89</v>
      </c>
      <c r="CE2" s="2" t="s">
        <v>18</v>
      </c>
      <c r="CF2" s="2" t="s">
        <v>19</v>
      </c>
      <c r="CG2" s="2" t="s">
        <v>195</v>
      </c>
      <c r="CH2" s="2" t="s">
        <v>89</v>
      </c>
      <c r="CI2" s="2" t="s">
        <v>18</v>
      </c>
      <c r="CJ2" s="2" t="s">
        <v>19</v>
      </c>
      <c r="CK2" s="2" t="s">
        <v>195</v>
      </c>
      <c r="CL2" s="2" t="s">
        <v>89</v>
      </c>
      <c r="CM2" s="2" t="s">
        <v>18</v>
      </c>
      <c r="CN2" s="2" t="s">
        <v>19</v>
      </c>
      <c r="CO2" s="2" t="s">
        <v>195</v>
      </c>
      <c r="CP2" s="2" t="s">
        <v>89</v>
      </c>
      <c r="CQ2" s="2" t="s">
        <v>18</v>
      </c>
      <c r="CR2" s="2" t="s">
        <v>19</v>
      </c>
      <c r="CS2" s="2" t="s">
        <v>195</v>
      </c>
      <c r="CT2" s="2" t="s">
        <v>160</v>
      </c>
      <c r="CU2" s="2" t="s">
        <v>54</v>
      </c>
      <c r="CV2" s="2" t="s">
        <v>52</v>
      </c>
      <c r="CW2" s="2" t="s">
        <v>161</v>
      </c>
      <c r="CX2" s="2" t="s">
        <v>162</v>
      </c>
      <c r="CY2" s="2" t="s">
        <v>85</v>
      </c>
      <c r="CZ2" s="2" t="s">
        <v>281</v>
      </c>
      <c r="DA2" s="2" t="s">
        <v>18</v>
      </c>
      <c r="DB2" s="2" t="s">
        <v>19</v>
      </c>
      <c r="DC2" s="2" t="s">
        <v>195</v>
      </c>
      <c r="DD2" s="2" t="s">
        <v>18</v>
      </c>
      <c r="DE2" s="2" t="s">
        <v>19</v>
      </c>
      <c r="DF2" s="2" t="s">
        <v>195</v>
      </c>
      <c r="DG2" s="2" t="s">
        <v>18</v>
      </c>
      <c r="DH2" s="2" t="s">
        <v>19</v>
      </c>
      <c r="DI2" s="2" t="s">
        <v>195</v>
      </c>
      <c r="DJ2" s="2" t="s">
        <v>18</v>
      </c>
      <c r="DK2" s="2" t="s">
        <v>19</v>
      </c>
      <c r="DL2" s="2" t="s">
        <v>195</v>
      </c>
      <c r="DM2" s="2" t="s">
        <v>18</v>
      </c>
      <c r="DN2" s="2" t="s">
        <v>19</v>
      </c>
      <c r="DO2" s="2" t="s">
        <v>195</v>
      </c>
      <c r="DP2" s="2" t="s">
        <v>18</v>
      </c>
      <c r="DQ2" s="2" t="s">
        <v>19</v>
      </c>
      <c r="DR2" s="2" t="s">
        <v>195</v>
      </c>
      <c r="DS2" s="2" t="s">
        <v>18</v>
      </c>
      <c r="DT2" s="2" t="s">
        <v>19</v>
      </c>
      <c r="DU2" s="2" t="s">
        <v>195</v>
      </c>
      <c r="DV2" s="2" t="s">
        <v>18</v>
      </c>
      <c r="DW2" s="2" t="s">
        <v>19</v>
      </c>
      <c r="DX2" s="2" t="s">
        <v>195</v>
      </c>
      <c r="DY2" s="2" t="s">
        <v>104</v>
      </c>
      <c r="DZ2" s="2" t="s">
        <v>165</v>
      </c>
      <c r="EA2" s="2" t="s">
        <v>166</v>
      </c>
      <c r="EB2" s="2" t="s">
        <v>104</v>
      </c>
      <c r="EC2" s="2" t="s">
        <v>165</v>
      </c>
      <c r="ED2" s="2" t="s">
        <v>166</v>
      </c>
      <c r="EE2" s="2" t="s">
        <v>104</v>
      </c>
      <c r="EF2" s="2" t="s">
        <v>165</v>
      </c>
      <c r="EG2" s="2" t="s">
        <v>166</v>
      </c>
      <c r="EH2" s="2" t="s">
        <v>104</v>
      </c>
      <c r="EI2" s="2" t="s">
        <v>165</v>
      </c>
      <c r="EJ2" s="2" t="s">
        <v>166</v>
      </c>
      <c r="EK2" s="15" t="s">
        <v>295</v>
      </c>
      <c r="EL2" s="15" t="s">
        <v>175</v>
      </c>
      <c r="EM2" s="15" t="s">
        <v>176</v>
      </c>
      <c r="EN2" s="15" t="s">
        <v>177</v>
      </c>
      <c r="EO2" s="15" t="s">
        <v>178</v>
      </c>
      <c r="EP2" s="15" t="s">
        <v>105</v>
      </c>
      <c r="EQ2" s="15" t="s">
        <v>295</v>
      </c>
      <c r="ER2" s="15" t="s">
        <v>175</v>
      </c>
      <c r="ES2" s="15" t="s">
        <v>176</v>
      </c>
      <c r="ET2" s="15" t="s">
        <v>177</v>
      </c>
      <c r="EU2" s="15" t="s">
        <v>178</v>
      </c>
      <c r="EV2" s="15" t="s">
        <v>105</v>
      </c>
      <c r="EW2" s="15" t="s">
        <v>295</v>
      </c>
      <c r="EX2" s="15" t="s">
        <v>175</v>
      </c>
      <c r="EY2" s="15" t="s">
        <v>176</v>
      </c>
      <c r="EZ2" s="15" t="s">
        <v>177</v>
      </c>
      <c r="FA2" s="15" t="s">
        <v>178</v>
      </c>
      <c r="FB2" s="15" t="s">
        <v>105</v>
      </c>
      <c r="FC2" s="15" t="s">
        <v>295</v>
      </c>
      <c r="FD2" s="15" t="s">
        <v>175</v>
      </c>
      <c r="FE2" s="15" t="s">
        <v>176</v>
      </c>
      <c r="FF2" s="15" t="s">
        <v>177</v>
      </c>
      <c r="FG2" s="15" t="s">
        <v>178</v>
      </c>
      <c r="FH2" s="15" t="s">
        <v>105</v>
      </c>
      <c r="FI2" s="15" t="s">
        <v>295</v>
      </c>
      <c r="FJ2" s="15" t="s">
        <v>175</v>
      </c>
      <c r="FK2" s="15" t="s">
        <v>176</v>
      </c>
      <c r="FL2" s="15" t="s">
        <v>177</v>
      </c>
      <c r="FM2" s="15" t="s">
        <v>178</v>
      </c>
      <c r="FN2" s="15" t="s">
        <v>105</v>
      </c>
      <c r="FO2" s="15" t="s">
        <v>302</v>
      </c>
      <c r="FP2" s="15" t="s">
        <v>303</v>
      </c>
      <c r="FQ2" s="15" t="s">
        <v>304</v>
      </c>
      <c r="FR2" s="15" t="s">
        <v>305</v>
      </c>
      <c r="FS2" s="15" t="s">
        <v>306</v>
      </c>
      <c r="FT2" s="15" t="s">
        <v>307</v>
      </c>
      <c r="FU2" s="15" t="s">
        <v>308</v>
      </c>
      <c r="FV2" s="15" t="s">
        <v>309</v>
      </c>
      <c r="FW2" s="15" t="s">
        <v>310</v>
      </c>
      <c r="FX2" s="15" t="s">
        <v>311</v>
      </c>
      <c r="FY2" s="15" t="s">
        <v>312</v>
      </c>
      <c r="FZ2" s="15" t="s">
        <v>313</v>
      </c>
      <c r="GA2" s="15" t="s">
        <v>314</v>
      </c>
      <c r="GB2" s="15" t="s">
        <v>315</v>
      </c>
      <c r="GC2" s="15" t="s">
        <v>316</v>
      </c>
      <c r="GD2" s="15" t="s">
        <v>317</v>
      </c>
      <c r="GE2" s="15" t="s">
        <v>318</v>
      </c>
      <c r="GF2" s="15" t="s">
        <v>319</v>
      </c>
      <c r="GG2" s="15" t="s">
        <v>320</v>
      </c>
      <c r="GH2" s="15" t="s">
        <v>321</v>
      </c>
      <c r="GI2" s="15" t="s">
        <v>322</v>
      </c>
      <c r="GJ2" s="286"/>
      <c r="GK2" s="286"/>
      <c r="GL2" s="286"/>
      <c r="GM2" s="286"/>
      <c r="GN2" s="16" t="s">
        <v>41</v>
      </c>
      <c r="GO2" s="17" t="s">
        <v>42</v>
      </c>
      <c r="GP2" s="17" t="s">
        <v>43</v>
      </c>
    </row>
    <row r="3" spans="1:198" s="4" customFormat="1" ht="11.25" x14ac:dyDescent="0.2">
      <c r="A3" s="4" t="s">
        <v>196</v>
      </c>
      <c r="B3" s="4" t="s">
        <v>197</v>
      </c>
      <c r="C3" s="4" t="s">
        <v>265</v>
      </c>
      <c r="D3" s="4" t="s">
        <v>324</v>
      </c>
      <c r="E3" s="4" t="s">
        <v>199</v>
      </c>
      <c r="F3" s="4" t="s">
        <v>323</v>
      </c>
      <c r="G3" s="4" t="s">
        <v>272</v>
      </c>
      <c r="H3" s="4" t="s">
        <v>199</v>
      </c>
      <c r="I3" s="14" t="s">
        <v>294</v>
      </c>
      <c r="J3" s="4">
        <v>52740</v>
      </c>
      <c r="K3" s="4" t="s">
        <v>266</v>
      </c>
      <c r="L3" s="4" t="s">
        <v>267</v>
      </c>
      <c r="M3" s="4" t="s">
        <v>200</v>
      </c>
      <c r="N3" s="4">
        <v>7282847310</v>
      </c>
      <c r="O3" s="4">
        <v>162</v>
      </c>
      <c r="P3" s="4">
        <v>7282847310</v>
      </c>
      <c r="Q3" s="4">
        <v>122</v>
      </c>
      <c r="R3" s="4" t="s">
        <v>268</v>
      </c>
      <c r="S3" s="4" t="s">
        <v>273</v>
      </c>
      <c r="T3" s="4" t="s">
        <v>274</v>
      </c>
      <c r="U3" s="4" t="s">
        <v>386</v>
      </c>
      <c r="V3" s="5" t="s">
        <v>198</v>
      </c>
      <c r="W3" s="5" t="s">
        <v>271</v>
      </c>
      <c r="X3" s="4">
        <v>28</v>
      </c>
      <c r="Y3" s="4">
        <v>10427</v>
      </c>
      <c r="Z3" s="4">
        <v>2</v>
      </c>
      <c r="AA3" s="4">
        <v>2</v>
      </c>
      <c r="AB3" s="4" t="s">
        <v>199</v>
      </c>
      <c r="AC3" s="4">
        <v>44</v>
      </c>
      <c r="AD3" s="4">
        <v>40</v>
      </c>
      <c r="AE3" s="4">
        <v>1</v>
      </c>
      <c r="AF3" s="4">
        <v>4</v>
      </c>
      <c r="AG3" s="4">
        <v>3</v>
      </c>
      <c r="AH3" s="4">
        <v>0</v>
      </c>
      <c r="AI3" s="4">
        <v>13</v>
      </c>
      <c r="AJ3" s="4">
        <v>15</v>
      </c>
      <c r="AK3" s="4" t="s">
        <v>199</v>
      </c>
      <c r="AL3" s="4">
        <v>447</v>
      </c>
      <c r="AM3" s="4">
        <v>362</v>
      </c>
      <c r="AN3" s="4" t="s">
        <v>199</v>
      </c>
      <c r="AO3" s="4" t="s">
        <v>199</v>
      </c>
      <c r="AP3" s="4" t="s">
        <v>199</v>
      </c>
      <c r="AQ3" s="4" t="s">
        <v>199</v>
      </c>
      <c r="AR3" s="4" t="s">
        <v>199</v>
      </c>
      <c r="AS3" s="4" t="s">
        <v>199</v>
      </c>
      <c r="AT3" s="4" t="s">
        <v>199</v>
      </c>
      <c r="AU3" s="4" t="s">
        <v>199</v>
      </c>
      <c r="AV3" s="4" t="s">
        <v>199</v>
      </c>
      <c r="AW3" s="4" t="s">
        <v>199</v>
      </c>
      <c r="AX3" s="4">
        <v>49</v>
      </c>
      <c r="AY3" s="4">
        <v>75</v>
      </c>
      <c r="AZ3" s="4" t="s">
        <v>199</v>
      </c>
      <c r="BA3" s="4">
        <v>17</v>
      </c>
      <c r="BB3" s="4">
        <v>11</v>
      </c>
      <c r="BC3" s="4" t="s">
        <v>199</v>
      </c>
      <c r="BD3" s="4" t="s">
        <v>199</v>
      </c>
      <c r="BE3" s="4" t="s">
        <v>199</v>
      </c>
      <c r="BF3" s="4" t="s">
        <v>199</v>
      </c>
      <c r="BG3" s="4" t="s">
        <v>199</v>
      </c>
      <c r="BH3" s="4" t="s">
        <v>199</v>
      </c>
      <c r="BI3" s="4" t="s">
        <v>199</v>
      </c>
      <c r="BJ3" s="4" t="s">
        <v>199</v>
      </c>
      <c r="BK3" s="4">
        <v>51138</v>
      </c>
      <c r="BL3" s="4">
        <v>53187</v>
      </c>
      <c r="BM3" s="4">
        <v>20801</v>
      </c>
      <c r="BN3" s="4">
        <v>0</v>
      </c>
      <c r="BO3" s="197">
        <v>86372.65448172258</v>
      </c>
      <c r="BP3" s="4">
        <v>0</v>
      </c>
      <c r="BQ3" s="197">
        <v>1701.3781441392857</v>
      </c>
      <c r="BR3" s="197">
        <v>36739.887388775474</v>
      </c>
      <c r="BS3" s="197">
        <v>312.07998536265939</v>
      </c>
      <c r="BT3" s="4">
        <v>10</v>
      </c>
      <c r="BU3" s="4">
        <v>0</v>
      </c>
      <c r="BV3" s="4">
        <v>2</v>
      </c>
      <c r="BW3" s="4">
        <v>35</v>
      </c>
      <c r="BX3" s="4">
        <v>1</v>
      </c>
      <c r="BY3" s="4">
        <v>1</v>
      </c>
      <c r="BZ3" s="4" t="s">
        <v>199</v>
      </c>
      <c r="CA3" s="4" t="s">
        <v>199</v>
      </c>
      <c r="CB3" s="4" t="s">
        <v>199</v>
      </c>
      <c r="CC3" s="4" t="s">
        <v>199</v>
      </c>
      <c r="CD3" s="4" t="s">
        <v>199</v>
      </c>
      <c r="CE3" s="4" t="s">
        <v>199</v>
      </c>
      <c r="CF3" s="4" t="s">
        <v>199</v>
      </c>
      <c r="CG3" s="4" t="s">
        <v>199</v>
      </c>
      <c r="CH3" s="4">
        <v>11</v>
      </c>
      <c r="CI3" s="4">
        <v>91</v>
      </c>
      <c r="CJ3" s="4">
        <v>118</v>
      </c>
      <c r="CK3" s="4" t="s">
        <v>199</v>
      </c>
      <c r="CL3" s="4" t="s">
        <v>199</v>
      </c>
      <c r="CM3" s="4" t="s">
        <v>199</v>
      </c>
      <c r="CN3" s="4" t="s">
        <v>199</v>
      </c>
      <c r="CO3" s="4" t="s">
        <v>199</v>
      </c>
      <c r="CP3" s="4" t="s">
        <v>199</v>
      </c>
      <c r="CQ3" s="4" t="s">
        <v>199</v>
      </c>
      <c r="CR3" s="4" t="s">
        <v>199</v>
      </c>
      <c r="CS3" s="4" t="s">
        <v>199</v>
      </c>
      <c r="CT3" s="4" t="s">
        <v>199</v>
      </c>
      <c r="CU3" s="4" t="s">
        <v>199</v>
      </c>
      <c r="CV3" s="4" t="s">
        <v>199</v>
      </c>
      <c r="CW3" s="4" t="s">
        <v>199</v>
      </c>
      <c r="CX3" s="4" t="s">
        <v>199</v>
      </c>
      <c r="CY3" s="4" t="s">
        <v>199</v>
      </c>
      <c r="CZ3" s="4" t="s">
        <v>199</v>
      </c>
      <c r="DA3" s="4">
        <v>86</v>
      </c>
      <c r="DB3" s="4">
        <v>122</v>
      </c>
      <c r="DC3" s="4" t="s">
        <v>199</v>
      </c>
      <c r="DD3" s="4">
        <v>127</v>
      </c>
      <c r="DE3" s="4">
        <v>114</v>
      </c>
      <c r="DG3" s="4">
        <v>32</v>
      </c>
      <c r="DH3" s="4">
        <v>21</v>
      </c>
      <c r="DI3" s="4" t="s">
        <v>199</v>
      </c>
      <c r="DJ3" s="4">
        <v>88</v>
      </c>
      <c r="DK3" s="4">
        <v>69</v>
      </c>
      <c r="DL3" s="4" t="s">
        <v>199</v>
      </c>
      <c r="DM3" s="4">
        <v>29</v>
      </c>
      <c r="DN3" s="4">
        <v>22</v>
      </c>
      <c r="DO3" s="4" t="s">
        <v>199</v>
      </c>
      <c r="DP3" s="4">
        <v>37</v>
      </c>
      <c r="DQ3" s="4">
        <v>51</v>
      </c>
      <c r="DR3" s="4" t="s">
        <v>199</v>
      </c>
      <c r="DS3" s="4">
        <v>64</v>
      </c>
      <c r="DT3" s="4">
        <v>82</v>
      </c>
      <c r="DU3" s="4" t="s">
        <v>199</v>
      </c>
      <c r="DV3" s="4">
        <v>1</v>
      </c>
      <c r="DW3" s="4">
        <v>0</v>
      </c>
      <c r="DX3" s="4" t="s">
        <v>199</v>
      </c>
      <c r="DY3" s="4">
        <v>0</v>
      </c>
      <c r="DZ3" s="4">
        <v>28</v>
      </c>
      <c r="EA3" s="4">
        <v>0</v>
      </c>
      <c r="EB3" s="4">
        <v>0</v>
      </c>
      <c r="EC3" s="4">
        <v>0</v>
      </c>
      <c r="ED3" s="4">
        <v>0</v>
      </c>
      <c r="EE3" s="4">
        <v>0</v>
      </c>
      <c r="EF3" s="4">
        <v>0</v>
      </c>
      <c r="EG3" s="4">
        <v>0</v>
      </c>
      <c r="EH3" s="4">
        <v>0</v>
      </c>
      <c r="EI3" s="4">
        <v>0</v>
      </c>
      <c r="EJ3" s="4">
        <v>0</v>
      </c>
      <c r="EK3" s="4">
        <v>8</v>
      </c>
      <c r="EL3" s="4">
        <v>1</v>
      </c>
      <c r="EM3" s="4">
        <v>5</v>
      </c>
      <c r="EN3" s="4">
        <v>0</v>
      </c>
      <c r="EO3" s="4">
        <v>5</v>
      </c>
      <c r="EP3" s="4">
        <v>10</v>
      </c>
      <c r="EQ3" s="4">
        <v>0</v>
      </c>
      <c r="ER3" s="4">
        <v>0</v>
      </c>
      <c r="ES3" s="4">
        <v>0</v>
      </c>
      <c r="ET3" s="4">
        <v>0</v>
      </c>
      <c r="EU3" s="4">
        <v>0</v>
      </c>
      <c r="EV3" s="4">
        <v>0</v>
      </c>
      <c r="EW3" s="4">
        <v>0</v>
      </c>
      <c r="EX3" s="4">
        <v>0</v>
      </c>
      <c r="EY3" s="4">
        <v>3</v>
      </c>
      <c r="EZ3" s="4">
        <v>1</v>
      </c>
      <c r="FA3" s="4">
        <v>3</v>
      </c>
      <c r="FB3" s="4">
        <v>0</v>
      </c>
      <c r="FC3" s="4">
        <v>2</v>
      </c>
      <c r="FD3" s="4">
        <v>0</v>
      </c>
      <c r="FE3" s="4">
        <v>5</v>
      </c>
      <c r="FF3" s="4">
        <v>0</v>
      </c>
      <c r="FG3" s="4">
        <v>5</v>
      </c>
      <c r="FH3" s="4">
        <v>8</v>
      </c>
      <c r="FI3" s="4">
        <v>1</v>
      </c>
      <c r="FJ3" s="4">
        <v>0</v>
      </c>
      <c r="FK3" s="4">
        <v>2</v>
      </c>
      <c r="FL3" s="4">
        <v>0</v>
      </c>
      <c r="FM3" s="4">
        <v>0</v>
      </c>
      <c r="FN3" s="4">
        <v>4</v>
      </c>
      <c r="FO3" s="4">
        <v>4</v>
      </c>
      <c r="FP3" s="4">
        <v>3</v>
      </c>
      <c r="FQ3" s="4" t="s">
        <v>199</v>
      </c>
      <c r="FR3" s="4" t="s">
        <v>199</v>
      </c>
      <c r="FS3" s="4" t="s">
        <v>199</v>
      </c>
      <c r="FT3" s="4" t="s">
        <v>199</v>
      </c>
      <c r="FU3" s="4">
        <v>12</v>
      </c>
      <c r="FV3" s="4">
        <v>17</v>
      </c>
      <c r="FW3" s="4" t="s">
        <v>199</v>
      </c>
      <c r="FX3" s="4">
        <v>3</v>
      </c>
      <c r="FY3" s="4">
        <v>1</v>
      </c>
      <c r="FZ3" s="4" t="s">
        <v>199</v>
      </c>
      <c r="GA3" s="4">
        <v>12</v>
      </c>
      <c r="GB3" s="4">
        <v>18</v>
      </c>
      <c r="GC3" s="4" t="s">
        <v>199</v>
      </c>
      <c r="GD3" s="4">
        <v>1</v>
      </c>
      <c r="GE3" s="4">
        <v>1</v>
      </c>
      <c r="GF3" s="4" t="s">
        <v>199</v>
      </c>
      <c r="GG3" s="4">
        <v>16</v>
      </c>
      <c r="GH3" s="4">
        <v>20</v>
      </c>
      <c r="GI3" s="4" t="s">
        <v>199</v>
      </c>
      <c r="GJ3" s="4" t="s">
        <v>387</v>
      </c>
      <c r="GK3" s="4" t="s">
        <v>388</v>
      </c>
      <c r="GL3" s="4" t="s">
        <v>385</v>
      </c>
      <c r="GM3" s="4" t="s">
        <v>389</v>
      </c>
      <c r="GN3" s="4">
        <v>2013</v>
      </c>
      <c r="GO3" s="4">
        <v>9</v>
      </c>
      <c r="GP3" s="4">
        <v>30</v>
      </c>
    </row>
    <row r="4" spans="1:198" s="4" customFormat="1" ht="11.25" x14ac:dyDescent="0.2">
      <c r="V4" s="5"/>
      <c r="BD4" s="7"/>
      <c r="BE4" s="8"/>
      <c r="BF4" s="8"/>
      <c r="BG4" s="8"/>
      <c r="BH4" s="8"/>
      <c r="BI4" s="8"/>
      <c r="BJ4" s="8"/>
      <c r="BK4" s="7"/>
      <c r="BO4" s="197"/>
    </row>
    <row r="5" spans="1:198" s="4" customFormat="1" ht="11.25" x14ac:dyDescent="0.2">
      <c r="V5" s="5"/>
      <c r="BO5" s="197"/>
    </row>
    <row r="6" spans="1:198" s="4" customFormat="1" ht="11.25" x14ac:dyDescent="0.2">
      <c r="V6" s="5"/>
    </row>
    <row r="7" spans="1:198" s="4" customFormat="1" ht="11.25" x14ac:dyDescent="0.2">
      <c r="V7" s="5"/>
    </row>
    <row r="8" spans="1:198" s="4" customFormat="1" ht="11.25" x14ac:dyDescent="0.2">
      <c r="V8" s="5"/>
    </row>
    <row r="9" spans="1:198" s="4" customFormat="1" ht="11.25" x14ac:dyDescent="0.2">
      <c r="V9" s="5"/>
    </row>
    <row r="10" spans="1:198" s="4" customFormat="1" ht="11.25" x14ac:dyDescent="0.2">
      <c r="V10" s="5"/>
    </row>
    <row r="11" spans="1:198" s="4" customFormat="1" ht="11.25" x14ac:dyDescent="0.2">
      <c r="V11" s="5"/>
    </row>
    <row r="12" spans="1:198" s="4" customFormat="1" ht="11.25" x14ac:dyDescent="0.2">
      <c r="V12" s="5"/>
    </row>
    <row r="13" spans="1:198" s="4" customFormat="1" ht="11.25" x14ac:dyDescent="0.2">
      <c r="V13" s="5"/>
    </row>
    <row r="14" spans="1:198" s="4" customFormat="1" ht="11.25" x14ac:dyDescent="0.2">
      <c r="V14" s="5"/>
    </row>
    <row r="15" spans="1:198" s="4" customFormat="1" ht="11.25" x14ac:dyDescent="0.2">
      <c r="V15" s="5"/>
    </row>
    <row r="16" spans="1:198" s="4" customFormat="1" ht="11.25" x14ac:dyDescent="0.2">
      <c r="V16" s="5"/>
    </row>
    <row r="17" spans="22:23" s="4" customFormat="1" ht="11.25" x14ac:dyDescent="0.2">
      <c r="V17" s="5"/>
    </row>
    <row r="18" spans="22:23" s="4" customFormat="1" ht="11.25" x14ac:dyDescent="0.2">
      <c r="V18" s="5"/>
      <c r="W18" s="5"/>
    </row>
    <row r="19" spans="22:23" s="4" customFormat="1" ht="11.25" x14ac:dyDescent="0.2">
      <c r="V19" s="5"/>
    </row>
    <row r="20" spans="22:23" s="4" customFormat="1" ht="11.25" x14ac:dyDescent="0.2">
      <c r="V20" s="5"/>
    </row>
    <row r="21" spans="22:23" s="4" customFormat="1" ht="11.25" x14ac:dyDescent="0.2">
      <c r="V21" s="5"/>
    </row>
    <row r="22" spans="22:23" s="4" customFormat="1" ht="11.25" x14ac:dyDescent="0.2">
      <c r="V22" s="5"/>
    </row>
    <row r="23" spans="22:23" s="4" customFormat="1" ht="11.25" x14ac:dyDescent="0.2">
      <c r="V23" s="5"/>
    </row>
    <row r="24" spans="22:23" s="4" customFormat="1" ht="11.25" x14ac:dyDescent="0.2">
      <c r="V24" s="5"/>
    </row>
    <row r="25" spans="22:23" s="4" customFormat="1" ht="11.25" x14ac:dyDescent="0.2">
      <c r="V25" s="5"/>
    </row>
    <row r="26" spans="22:23" s="4" customFormat="1" ht="11.25" x14ac:dyDescent="0.2">
      <c r="V26" s="5"/>
    </row>
    <row r="27" spans="22:23" s="4" customFormat="1" ht="11.25" x14ac:dyDescent="0.2">
      <c r="V27" s="5"/>
    </row>
    <row r="28" spans="22:23" s="4" customFormat="1" ht="11.25" x14ac:dyDescent="0.2">
      <c r="V28" s="5"/>
    </row>
    <row r="29" spans="22:23" s="4" customFormat="1" ht="11.25" x14ac:dyDescent="0.2">
      <c r="V29" s="5"/>
    </row>
    <row r="30" spans="22:23" s="4" customFormat="1" ht="11.25" x14ac:dyDescent="0.2">
      <c r="V30" s="5"/>
    </row>
    <row r="31" spans="22:23" s="4" customFormat="1" ht="11.25" x14ac:dyDescent="0.2"/>
    <row r="32" spans="22:23" s="4" customFormat="1" ht="11.25" x14ac:dyDescent="0.2"/>
    <row r="33" s="4" customFormat="1" ht="11.25" x14ac:dyDescent="0.2"/>
    <row r="34" s="4" customFormat="1" ht="11.25" x14ac:dyDescent="0.2"/>
    <row r="35" s="4" customFormat="1" ht="11.25" x14ac:dyDescent="0.2"/>
    <row r="36" s="4" customFormat="1" ht="11.25" x14ac:dyDescent="0.2"/>
    <row r="37" s="4" customFormat="1" ht="11.25" x14ac:dyDescent="0.2"/>
  </sheetData>
  <mergeCells count="67">
    <mergeCell ref="GJ1:GJ2"/>
    <mergeCell ref="GK1:GK2"/>
    <mergeCell ref="GL1:GL2"/>
    <mergeCell ref="GM1:GM2"/>
    <mergeCell ref="GN1:GP1"/>
    <mergeCell ref="FC1:FH1"/>
    <mergeCell ref="FI1:FN1"/>
    <mergeCell ref="FO1:GG1"/>
    <mergeCell ref="CD1:CG1"/>
    <mergeCell ref="CH1:CK1"/>
    <mergeCell ref="CL1:CO1"/>
    <mergeCell ref="CP1:CS1"/>
    <mergeCell ref="CT1:CZ1"/>
    <mergeCell ref="DA1:DC1"/>
    <mergeCell ref="DJ1:DL1"/>
    <mergeCell ref="DM1:DO1"/>
    <mergeCell ref="DP1:DR1"/>
    <mergeCell ref="DS1:DU1"/>
    <mergeCell ref="DV1:DX1"/>
    <mergeCell ref="DY1:EA1"/>
    <mergeCell ref="EB1:ED1"/>
    <mergeCell ref="N1:N2"/>
    <mergeCell ref="O1:O2"/>
    <mergeCell ref="P1:P2"/>
    <mergeCell ref="E1:E2"/>
    <mergeCell ref="A1:A2"/>
    <mergeCell ref="C1:C2"/>
    <mergeCell ref="D1:D2"/>
    <mergeCell ref="R1:R2"/>
    <mergeCell ref="B1:B2"/>
    <mergeCell ref="U1:U2"/>
    <mergeCell ref="V1:V2"/>
    <mergeCell ref="W1:W2"/>
    <mergeCell ref="S1:S2"/>
    <mergeCell ref="T1:T2"/>
    <mergeCell ref="Q1:Q2"/>
    <mergeCell ref="F1:F2"/>
    <mergeCell ref="G1:G2"/>
    <mergeCell ref="H1:H2"/>
    <mergeCell ref="I1:I2"/>
    <mergeCell ref="J1:J2"/>
    <mergeCell ref="K1:K2"/>
    <mergeCell ref="L1:L2"/>
    <mergeCell ref="M1:M2"/>
    <mergeCell ref="EK1:EP1"/>
    <mergeCell ref="EQ1:EV1"/>
    <mergeCell ref="EW1:FB1"/>
    <mergeCell ref="BO1:BS1"/>
    <mergeCell ref="BZ1:CC1"/>
    <mergeCell ref="BT1:BY1"/>
    <mergeCell ref="DD1:DF1"/>
    <mergeCell ref="DG1:DI1"/>
    <mergeCell ref="Y1:Y2"/>
    <mergeCell ref="BD1:BJ1"/>
    <mergeCell ref="BK1:BN1"/>
    <mergeCell ref="EE1:EG1"/>
    <mergeCell ref="EH1:EJ1"/>
    <mergeCell ref="AO1:AQ1"/>
    <mergeCell ref="AR1:AT1"/>
    <mergeCell ref="AU1:AW1"/>
    <mergeCell ref="AX1:AZ1"/>
    <mergeCell ref="BA1:BC1"/>
    <mergeCell ref="Z1:AB1"/>
    <mergeCell ref="AC1:AE1"/>
    <mergeCell ref="AF1:AH1"/>
    <mergeCell ref="AI1:AK1"/>
    <mergeCell ref="AL1:AN1"/>
  </mergeCells>
  <hyperlinks>
    <hyperlink ref="W3" r:id="rId1"/>
  </hyperlinks>
  <pageMargins left="0.7" right="0.7" top="0.75" bottom="0.75" header="0.3" footer="0.3"/>
  <pageSetup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4"/>
  <sheetViews>
    <sheetView workbookViewId="0">
      <selection activeCell="B35" sqref="B35"/>
    </sheetView>
  </sheetViews>
  <sheetFormatPr baseColWidth="10" defaultRowHeight="15" x14ac:dyDescent="0.25"/>
  <cols>
    <col min="1" max="1" width="3.42578125" customWidth="1"/>
    <col min="2" max="2" width="56.42578125" bestFit="1" customWidth="1"/>
    <col min="3" max="7" width="13.28515625" bestFit="1" customWidth="1"/>
    <col min="8" max="8" width="11.5703125" bestFit="1" customWidth="1"/>
    <col min="9" max="9" width="12.28515625" bestFit="1" customWidth="1"/>
  </cols>
  <sheetData>
    <row r="2" spans="2:9" ht="33" customHeight="1" x14ac:dyDescent="0.25">
      <c r="B2" s="11" t="s">
        <v>220</v>
      </c>
      <c r="C2" s="11" t="s">
        <v>221</v>
      </c>
      <c r="D2" s="11" t="s">
        <v>222</v>
      </c>
      <c r="E2" s="11" t="s">
        <v>223</v>
      </c>
      <c r="F2" s="11" t="s">
        <v>224</v>
      </c>
      <c r="G2" s="11" t="s">
        <v>225</v>
      </c>
      <c r="H2" s="11" t="s">
        <v>226</v>
      </c>
      <c r="I2" s="11" t="s">
        <v>227</v>
      </c>
    </row>
    <row r="3" spans="2:9" x14ac:dyDescent="0.25">
      <c r="B3" s="9" t="s">
        <v>228</v>
      </c>
      <c r="C3" s="10">
        <v>103844282</v>
      </c>
      <c r="D3" s="9">
        <v>0</v>
      </c>
      <c r="E3" s="9">
        <v>0</v>
      </c>
      <c r="F3" s="9">
        <v>0</v>
      </c>
      <c r="G3" s="9">
        <v>0</v>
      </c>
      <c r="H3" s="9">
        <v>0</v>
      </c>
      <c r="I3" s="9">
        <v>0</v>
      </c>
    </row>
    <row r="4" spans="2:9" x14ac:dyDescent="0.25">
      <c r="B4" s="9" t="s">
        <v>229</v>
      </c>
      <c r="C4" s="9">
        <v>0</v>
      </c>
      <c r="D4" s="10">
        <v>18202244.899999999</v>
      </c>
      <c r="E4" s="10">
        <v>17934435.449999999</v>
      </c>
      <c r="F4" s="10">
        <v>41630339.25</v>
      </c>
      <c r="G4" s="10">
        <v>26786385.969999999</v>
      </c>
      <c r="H4" s="9">
        <v>0</v>
      </c>
      <c r="I4" s="10">
        <v>14843953.279999999</v>
      </c>
    </row>
    <row r="5" spans="2:9" x14ac:dyDescent="0.25">
      <c r="B5" s="9" t="s">
        <v>230</v>
      </c>
      <c r="C5" s="9">
        <v>0</v>
      </c>
      <c r="D5" s="10">
        <v>3962302.03</v>
      </c>
      <c r="E5" s="10">
        <v>3910103.07</v>
      </c>
      <c r="F5" s="10">
        <v>3234214.63</v>
      </c>
      <c r="G5" s="10">
        <v>3232471.72</v>
      </c>
      <c r="H5" s="9">
        <v>0</v>
      </c>
      <c r="I5" s="10">
        <v>1742.91</v>
      </c>
    </row>
    <row r="6" spans="2:9" x14ac:dyDescent="0.25">
      <c r="B6" s="9" t="s">
        <v>231</v>
      </c>
      <c r="C6" s="9">
        <v>0</v>
      </c>
      <c r="D6" s="10">
        <v>3057657.05</v>
      </c>
      <c r="E6" s="10">
        <v>3012099.94</v>
      </c>
      <c r="F6" s="10">
        <v>2997499.22</v>
      </c>
      <c r="G6" s="10">
        <v>2997353.52</v>
      </c>
      <c r="H6" s="9">
        <v>0</v>
      </c>
      <c r="I6" s="9">
        <v>145.69999999999999</v>
      </c>
    </row>
    <row r="7" spans="2:9" x14ac:dyDescent="0.25">
      <c r="B7" s="9" t="s">
        <v>232</v>
      </c>
      <c r="C7" s="9">
        <v>0</v>
      </c>
      <c r="D7" s="10">
        <v>3536808.47</v>
      </c>
      <c r="E7" s="10">
        <v>3489274.89</v>
      </c>
      <c r="F7" s="10">
        <v>3490807.34</v>
      </c>
      <c r="G7" s="10">
        <v>3497759.59</v>
      </c>
      <c r="H7" s="9">
        <v>0</v>
      </c>
      <c r="I7" s="10">
        <v>-6952.25</v>
      </c>
    </row>
    <row r="8" spans="2:9" x14ac:dyDescent="0.25">
      <c r="B8" s="9" t="s">
        <v>233</v>
      </c>
      <c r="C8" s="9">
        <v>0</v>
      </c>
      <c r="D8" s="10">
        <v>2688663.26</v>
      </c>
      <c r="E8" s="10">
        <v>2535241.9500000002</v>
      </c>
      <c r="F8" s="10">
        <v>3269906.27</v>
      </c>
      <c r="G8" s="10">
        <v>3267458.15</v>
      </c>
      <c r="H8" s="9">
        <v>0</v>
      </c>
      <c r="I8" s="10">
        <v>2448.12</v>
      </c>
    </row>
    <row r="9" spans="2:9" x14ac:dyDescent="0.25">
      <c r="B9" s="9" t="s">
        <v>234</v>
      </c>
      <c r="C9" s="9">
        <v>0</v>
      </c>
      <c r="D9" s="10">
        <v>3324755.06</v>
      </c>
      <c r="E9" s="10">
        <v>3257071.18</v>
      </c>
      <c r="F9" s="10">
        <v>3822567.55</v>
      </c>
      <c r="G9" s="10">
        <v>3822567.55</v>
      </c>
      <c r="H9" s="9">
        <v>0</v>
      </c>
      <c r="I9" s="9">
        <v>0</v>
      </c>
    </row>
    <row r="10" spans="2:9" x14ac:dyDescent="0.25">
      <c r="B10" s="9" t="s">
        <v>235</v>
      </c>
      <c r="C10" s="9">
        <v>0</v>
      </c>
      <c r="D10" s="10">
        <v>2323737.37</v>
      </c>
      <c r="E10" s="10">
        <v>2290128.6</v>
      </c>
      <c r="F10" s="10">
        <v>2548418.3199999998</v>
      </c>
      <c r="G10" s="10">
        <v>2543493.3199999998</v>
      </c>
      <c r="H10" s="9">
        <v>0</v>
      </c>
      <c r="I10" s="10">
        <v>4925</v>
      </c>
    </row>
    <row r="11" spans="2:9" x14ac:dyDescent="0.25">
      <c r="B11" s="9" t="s">
        <v>236</v>
      </c>
      <c r="C11" s="9">
        <v>0</v>
      </c>
      <c r="D11" s="10">
        <v>2624812.17</v>
      </c>
      <c r="E11" s="10">
        <v>2590202.94</v>
      </c>
      <c r="F11" s="10">
        <v>3288224.78</v>
      </c>
      <c r="G11" s="10">
        <v>3282016.08</v>
      </c>
      <c r="H11" s="9">
        <v>0</v>
      </c>
      <c r="I11" s="10">
        <v>6208.7</v>
      </c>
    </row>
    <row r="12" spans="2:9" x14ac:dyDescent="0.25">
      <c r="B12" s="9" t="s">
        <v>237</v>
      </c>
      <c r="C12" s="9">
        <v>0</v>
      </c>
      <c r="D12" s="10">
        <v>3680401.58</v>
      </c>
      <c r="E12" s="10">
        <v>3631801.33</v>
      </c>
      <c r="F12" s="10">
        <v>4442994.28</v>
      </c>
      <c r="G12" s="10">
        <v>4445311.6900000004</v>
      </c>
      <c r="H12" s="9">
        <v>0</v>
      </c>
      <c r="I12" s="10">
        <v>-2317.41</v>
      </c>
    </row>
    <row r="13" spans="2:9" x14ac:dyDescent="0.25">
      <c r="B13" s="9" t="s">
        <v>238</v>
      </c>
      <c r="C13" s="9">
        <v>0</v>
      </c>
      <c r="D13" s="10">
        <v>3869320.23</v>
      </c>
      <c r="E13" s="10">
        <v>3719489.39</v>
      </c>
      <c r="F13" s="10">
        <v>4503817.5599999996</v>
      </c>
      <c r="G13" s="10">
        <v>4488549.47</v>
      </c>
      <c r="H13" s="9">
        <v>0</v>
      </c>
      <c r="I13" s="10">
        <v>15268.09</v>
      </c>
    </row>
    <row r="14" spans="2:9" x14ac:dyDescent="0.25">
      <c r="B14" s="9" t="s">
        <v>239</v>
      </c>
      <c r="C14" s="9">
        <v>0</v>
      </c>
      <c r="D14" s="10">
        <v>6236891.8399999999</v>
      </c>
      <c r="E14" s="10">
        <v>6155547.8200000003</v>
      </c>
      <c r="F14" s="10">
        <v>5218934.34</v>
      </c>
      <c r="G14" s="10">
        <v>5220266.76</v>
      </c>
      <c r="H14" s="9">
        <v>0</v>
      </c>
      <c r="I14" s="10">
        <v>-1332.42</v>
      </c>
    </row>
    <row r="15" spans="2:9" x14ac:dyDescent="0.25">
      <c r="B15" s="9" t="s">
        <v>240</v>
      </c>
      <c r="C15" s="9">
        <v>0</v>
      </c>
      <c r="D15" s="10">
        <v>3512539.18</v>
      </c>
      <c r="E15" s="10">
        <v>3463267.94</v>
      </c>
      <c r="F15" s="10">
        <v>3534682.63</v>
      </c>
      <c r="G15" s="10">
        <v>3534682.63</v>
      </c>
      <c r="H15" s="9">
        <v>0</v>
      </c>
      <c r="I15" s="9">
        <v>0</v>
      </c>
    </row>
    <row r="16" spans="2:9" x14ac:dyDescent="0.25">
      <c r="B16" s="9" t="s">
        <v>241</v>
      </c>
      <c r="C16" s="9">
        <v>0</v>
      </c>
      <c r="D16" s="10">
        <v>5089809.82</v>
      </c>
      <c r="E16" s="10">
        <v>5003723.53</v>
      </c>
      <c r="F16" s="10">
        <v>4347453.78</v>
      </c>
      <c r="G16" s="10">
        <v>4348771.8</v>
      </c>
      <c r="H16" s="9">
        <v>0</v>
      </c>
      <c r="I16" s="10">
        <v>-1318.02</v>
      </c>
    </row>
    <row r="17" spans="2:9" x14ac:dyDescent="0.25">
      <c r="B17" s="9" t="s">
        <v>242</v>
      </c>
      <c r="C17" s="9">
        <v>0</v>
      </c>
      <c r="D17" s="10">
        <v>2716988.66</v>
      </c>
      <c r="E17" s="10">
        <v>2674299.81</v>
      </c>
      <c r="F17" s="10">
        <v>2968438.39</v>
      </c>
      <c r="G17" s="10">
        <v>2980035.38</v>
      </c>
      <c r="H17" s="9">
        <v>0</v>
      </c>
      <c r="I17" s="10">
        <v>-11596.99</v>
      </c>
    </row>
    <row r="18" spans="2:9" x14ac:dyDescent="0.25">
      <c r="B18" s="9" t="s">
        <v>243</v>
      </c>
      <c r="C18" s="9">
        <v>0</v>
      </c>
      <c r="D18" s="10">
        <v>4615286.4000000004</v>
      </c>
      <c r="E18" s="10">
        <v>4539925.17</v>
      </c>
      <c r="F18" s="10">
        <v>4269258.2699999996</v>
      </c>
      <c r="G18" s="10">
        <v>4280845.3499999996</v>
      </c>
      <c r="H18" s="9">
        <v>0</v>
      </c>
      <c r="I18" s="10">
        <v>-11587.08</v>
      </c>
    </row>
    <row r="19" spans="2:9" x14ac:dyDescent="0.25">
      <c r="B19" s="9" t="s">
        <v>244</v>
      </c>
      <c r="C19" s="9">
        <v>0</v>
      </c>
      <c r="D19" s="10">
        <v>2713371.21</v>
      </c>
      <c r="E19" s="10">
        <v>2657186.08</v>
      </c>
      <c r="F19" s="10">
        <v>2535820.2999999998</v>
      </c>
      <c r="G19" s="10">
        <v>2535820.2999999998</v>
      </c>
      <c r="H19" s="9">
        <v>0</v>
      </c>
      <c r="I19" s="9">
        <v>0</v>
      </c>
    </row>
    <row r="20" spans="2:9" x14ac:dyDescent="0.25">
      <c r="B20" s="9" t="s">
        <v>245</v>
      </c>
      <c r="C20" s="9">
        <v>0</v>
      </c>
      <c r="D20" s="10">
        <v>5807877.5</v>
      </c>
      <c r="E20" s="10">
        <v>5710579.46</v>
      </c>
      <c r="F20" s="10">
        <v>6161990.4800000004</v>
      </c>
      <c r="G20" s="10">
        <v>6148100.4000000004</v>
      </c>
      <c r="H20" s="9">
        <v>0</v>
      </c>
      <c r="I20" s="10">
        <v>13890.08</v>
      </c>
    </row>
    <row r="21" spans="2:9" x14ac:dyDescent="0.25">
      <c r="B21" s="9" t="s">
        <v>246</v>
      </c>
      <c r="C21" s="9">
        <v>0</v>
      </c>
      <c r="D21" s="10">
        <v>3701692.18</v>
      </c>
      <c r="E21" s="10">
        <v>3642610.41</v>
      </c>
      <c r="F21" s="10">
        <v>3079996.37</v>
      </c>
      <c r="G21" s="10">
        <v>3081249.99</v>
      </c>
      <c r="H21" s="9">
        <v>0</v>
      </c>
      <c r="I21" s="10">
        <v>-1253.6199999999999</v>
      </c>
    </row>
    <row r="22" spans="2:9" x14ac:dyDescent="0.25">
      <c r="B22" s="9" t="s">
        <v>247</v>
      </c>
      <c r="C22" s="9">
        <v>0</v>
      </c>
      <c r="D22" s="10">
        <v>5113936.76</v>
      </c>
      <c r="E22" s="10">
        <v>5047022.29</v>
      </c>
      <c r="F22" s="10">
        <v>4992791.66</v>
      </c>
      <c r="G22" s="10">
        <v>4982666.66</v>
      </c>
      <c r="H22" s="9">
        <v>0</v>
      </c>
      <c r="I22" s="10">
        <v>10125</v>
      </c>
    </row>
    <row r="23" spans="2:9" x14ac:dyDescent="0.25">
      <c r="B23" s="9" t="s">
        <v>248</v>
      </c>
      <c r="C23" s="9">
        <v>0</v>
      </c>
      <c r="D23" s="10">
        <v>3213180.5</v>
      </c>
      <c r="E23" s="10">
        <v>3170146.75</v>
      </c>
      <c r="F23" s="10">
        <v>3218462.31</v>
      </c>
      <c r="G23" s="10">
        <v>3217962.31</v>
      </c>
      <c r="H23" s="9">
        <v>0</v>
      </c>
      <c r="I23" s="9">
        <v>500</v>
      </c>
    </row>
    <row r="24" spans="2:9" x14ac:dyDescent="0.25">
      <c r="B24" s="9" t="s">
        <v>249</v>
      </c>
      <c r="C24" s="9">
        <v>0</v>
      </c>
      <c r="D24" s="10">
        <v>4399782.16</v>
      </c>
      <c r="E24" s="10">
        <v>4341691.21</v>
      </c>
      <c r="F24" s="10">
        <v>4105448.73</v>
      </c>
      <c r="G24" s="10">
        <v>4100523.73</v>
      </c>
      <c r="H24" s="9">
        <v>0</v>
      </c>
      <c r="I24" s="10">
        <v>4925</v>
      </c>
    </row>
    <row r="25" spans="2:9" x14ac:dyDescent="0.25">
      <c r="B25" s="9" t="s">
        <v>250</v>
      </c>
      <c r="C25" s="9">
        <v>0</v>
      </c>
      <c r="D25" s="10">
        <v>3879996.59</v>
      </c>
      <c r="E25" s="10">
        <v>3829084.19</v>
      </c>
      <c r="F25" s="10">
        <v>3898841.29</v>
      </c>
      <c r="G25" s="10">
        <v>3912745.78</v>
      </c>
      <c r="H25" s="9">
        <v>0</v>
      </c>
      <c r="I25" s="10">
        <v>-13904.49</v>
      </c>
    </row>
    <row r="26" spans="2:9" x14ac:dyDescent="0.25">
      <c r="B26" s="9" t="s">
        <v>251</v>
      </c>
      <c r="C26" s="9">
        <v>0</v>
      </c>
      <c r="D26" s="10">
        <v>5572227.0800000001</v>
      </c>
      <c r="E26" s="10">
        <v>5492079.2800000003</v>
      </c>
      <c r="F26" s="10">
        <v>5417424.6600000001</v>
      </c>
      <c r="G26" s="10">
        <v>5413676.1399999997</v>
      </c>
      <c r="H26" s="9">
        <v>0</v>
      </c>
      <c r="I26" s="10">
        <v>3748.52</v>
      </c>
    </row>
    <row r="27" spans="2:9" x14ac:dyDescent="0.25">
      <c r="B27" s="9" t="s">
        <v>252</v>
      </c>
      <c r="C27" s="9">
        <v>0</v>
      </c>
      <c r="D27" s="9">
        <v>0</v>
      </c>
      <c r="E27" s="9">
        <v>0</v>
      </c>
      <c r="F27" s="10">
        <v>1633225.46</v>
      </c>
      <c r="G27" s="10">
        <v>1656684.96</v>
      </c>
      <c r="H27" s="9">
        <v>0</v>
      </c>
      <c r="I27" s="10">
        <v>-23459.5</v>
      </c>
    </row>
    <row r="28" spans="2:9" x14ac:dyDescent="0.25">
      <c r="B28" s="9" t="s">
        <v>253</v>
      </c>
      <c r="C28" s="9">
        <v>0</v>
      </c>
      <c r="D28" s="9">
        <v>0</v>
      </c>
      <c r="E28" s="9">
        <v>0</v>
      </c>
      <c r="F28" s="10">
        <v>1754789.21</v>
      </c>
      <c r="G28" s="10">
        <v>1754789.11</v>
      </c>
      <c r="H28" s="9">
        <v>0</v>
      </c>
      <c r="I28" s="9">
        <v>0.1</v>
      </c>
    </row>
    <row r="29" spans="2:9" x14ac:dyDescent="0.25">
      <c r="B29" s="9" t="s">
        <v>254</v>
      </c>
      <c r="C29" s="9">
        <v>0</v>
      </c>
      <c r="D29" s="9">
        <v>0</v>
      </c>
      <c r="E29" s="9">
        <v>0</v>
      </c>
      <c r="F29" s="10">
        <v>888640.43</v>
      </c>
      <c r="G29" s="10">
        <v>888640.43</v>
      </c>
      <c r="H29" s="9">
        <v>0</v>
      </c>
      <c r="I29" s="9">
        <v>0</v>
      </c>
    </row>
    <row r="30" spans="2:9" x14ac:dyDescent="0.25">
      <c r="B30" s="9" t="s">
        <v>255</v>
      </c>
      <c r="C30" s="9">
        <v>0</v>
      </c>
      <c r="D30" s="9">
        <v>0</v>
      </c>
      <c r="E30" s="9">
        <v>0</v>
      </c>
      <c r="F30" s="10">
        <v>1460985.81</v>
      </c>
      <c r="G30" s="10">
        <v>1460985.79</v>
      </c>
      <c r="H30" s="9">
        <v>0</v>
      </c>
      <c r="I30" s="9">
        <v>0.02</v>
      </c>
    </row>
    <row r="31" spans="2:9" x14ac:dyDescent="0.25">
      <c r="B31" s="9" t="s">
        <v>256</v>
      </c>
      <c r="C31" s="9">
        <v>0</v>
      </c>
      <c r="D31" s="9">
        <v>0</v>
      </c>
      <c r="E31" s="9">
        <v>0</v>
      </c>
      <c r="F31" s="10">
        <v>3200699.21</v>
      </c>
      <c r="G31" s="10">
        <v>3200699.2</v>
      </c>
      <c r="H31" s="9">
        <v>0</v>
      </c>
      <c r="I31" s="9">
        <v>0.01</v>
      </c>
    </row>
    <row r="32" spans="2:9" x14ac:dyDescent="0.25">
      <c r="B32" s="12" t="s">
        <v>257</v>
      </c>
      <c r="C32" s="13">
        <v>103844282</v>
      </c>
      <c r="D32" s="13">
        <v>103844282</v>
      </c>
      <c r="E32" s="13">
        <v>102097012.68000001</v>
      </c>
      <c r="F32" s="13">
        <v>135916672.53</v>
      </c>
      <c r="G32" s="13">
        <v>121082513.78</v>
      </c>
      <c r="H32" s="12">
        <v>0</v>
      </c>
      <c r="I32" s="13">
        <v>14834158.75</v>
      </c>
    </row>
    <row r="33" spans="2:9" x14ac:dyDescent="0.25">
      <c r="B33" s="12" t="s">
        <v>258</v>
      </c>
      <c r="C33" s="13">
        <v>103844282</v>
      </c>
      <c r="D33" s="13">
        <v>103844282</v>
      </c>
      <c r="E33" s="13">
        <v>102097012.68000001</v>
      </c>
      <c r="F33" s="13">
        <v>135916672.53</v>
      </c>
      <c r="G33" s="13">
        <v>121082513.78</v>
      </c>
      <c r="H33" s="12">
        <v>0</v>
      </c>
      <c r="I33" s="13">
        <v>14834158.75</v>
      </c>
    </row>
    <row r="34" spans="2:9" x14ac:dyDescent="0.25">
      <c r="B34" s="9"/>
      <c r="C34" s="9"/>
      <c r="D34" s="9"/>
      <c r="E34" s="9"/>
      <c r="F34" s="9"/>
      <c r="G34" s="9"/>
      <c r="H34" s="9"/>
      <c r="I34" s="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83"/>
  <sheetViews>
    <sheetView topLeftCell="B1346" workbookViewId="0">
      <selection activeCell="E5" sqref="E5:P1382"/>
    </sheetView>
  </sheetViews>
  <sheetFormatPr baseColWidth="10" defaultRowHeight="15" x14ac:dyDescent="0.25"/>
  <cols>
    <col min="3" max="3" width="11.5703125" bestFit="1" customWidth="1"/>
    <col min="4" max="4" width="9.28515625" bestFit="1" customWidth="1"/>
  </cols>
  <sheetData>
    <row r="1" spans="1:16" ht="15.75" customHeight="1" x14ac:dyDescent="0.25">
      <c r="A1" s="289" t="s">
        <v>391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</row>
    <row r="2" spans="1:16" x14ac:dyDescent="0.25">
      <c r="A2" s="290" t="s">
        <v>392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</row>
    <row r="3" spans="1:16" x14ac:dyDescent="0.25">
      <c r="A3" s="291" t="s">
        <v>228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</row>
    <row r="4" spans="1:16" ht="19.5" x14ac:dyDescent="0.25">
      <c r="A4" s="189" t="s">
        <v>393</v>
      </c>
      <c r="B4" s="189" t="s">
        <v>220</v>
      </c>
      <c r="C4" s="189" t="s">
        <v>394</v>
      </c>
      <c r="D4" s="189" t="s">
        <v>47</v>
      </c>
      <c r="E4" s="189" t="s">
        <v>395</v>
      </c>
      <c r="F4" s="189" t="s">
        <v>396</v>
      </c>
      <c r="G4" s="189" t="s">
        <v>397</v>
      </c>
      <c r="H4" s="189" t="s">
        <v>398</v>
      </c>
      <c r="I4" s="189" t="s">
        <v>399</v>
      </c>
      <c r="J4" s="189" t="s">
        <v>400</v>
      </c>
      <c r="K4" s="189" t="s">
        <v>401</v>
      </c>
      <c r="L4" s="189" t="s">
        <v>402</v>
      </c>
      <c r="M4" s="189" t="s">
        <v>403</v>
      </c>
      <c r="N4" s="189" t="s">
        <v>404</v>
      </c>
      <c r="O4" s="189" t="s">
        <v>405</v>
      </c>
      <c r="P4" s="189" t="s">
        <v>406</v>
      </c>
    </row>
    <row r="5" spans="1:16" x14ac:dyDescent="0.25">
      <c r="A5" s="190">
        <v>801010402</v>
      </c>
      <c r="B5" s="190" t="s">
        <v>407</v>
      </c>
      <c r="C5" s="190">
        <v>1131</v>
      </c>
      <c r="D5" s="190" t="s">
        <v>408</v>
      </c>
      <c r="E5" s="193">
        <v>671476.39</v>
      </c>
      <c r="F5" s="193">
        <v>663472.53</v>
      </c>
      <c r="G5" s="193">
        <v>704517.81</v>
      </c>
      <c r="H5" s="193">
        <v>701380.16</v>
      </c>
      <c r="I5" s="193">
        <v>730168.62</v>
      </c>
      <c r="J5" s="193">
        <v>758869.72</v>
      </c>
      <c r="K5" s="193">
        <v>1020921.54</v>
      </c>
      <c r="L5" s="193">
        <v>856822.5</v>
      </c>
      <c r="M5" s="193">
        <v>979440.82</v>
      </c>
      <c r="N5" s="193">
        <v>994310.23</v>
      </c>
      <c r="O5" s="193">
        <v>1000199.05</v>
      </c>
      <c r="P5" s="193">
        <v>1107810.56</v>
      </c>
    </row>
    <row r="6" spans="1:16" x14ac:dyDescent="0.25">
      <c r="A6" s="190">
        <v>801010402</v>
      </c>
      <c r="B6" s="190" t="s">
        <v>410</v>
      </c>
      <c r="C6" s="190">
        <v>1131</v>
      </c>
      <c r="D6" s="190" t="s">
        <v>408</v>
      </c>
      <c r="E6" s="193">
        <v>159610.32999999999</v>
      </c>
      <c r="F6" s="193">
        <v>119417.24</v>
      </c>
      <c r="G6" s="193">
        <v>147964.32</v>
      </c>
      <c r="H6" s="193">
        <v>147964.32</v>
      </c>
      <c r="I6" s="193">
        <v>145691.96</v>
      </c>
      <c r="J6" s="193">
        <v>145691.96</v>
      </c>
      <c r="K6" s="193">
        <v>212603.18</v>
      </c>
      <c r="L6" s="193">
        <v>118781.59</v>
      </c>
      <c r="M6" s="193">
        <v>181794.57</v>
      </c>
      <c r="N6" s="193">
        <v>192120.76</v>
      </c>
      <c r="O6" s="193">
        <v>194332.14</v>
      </c>
      <c r="P6" s="193">
        <v>228608.49</v>
      </c>
    </row>
    <row r="7" spans="1:16" x14ac:dyDescent="0.25">
      <c r="A7" s="190">
        <v>801010402</v>
      </c>
      <c r="B7" s="190" t="s">
        <v>411</v>
      </c>
      <c r="C7" s="190">
        <v>1131</v>
      </c>
      <c r="D7" s="190" t="s">
        <v>408</v>
      </c>
      <c r="E7" s="193">
        <v>136632.64000000001</v>
      </c>
      <c r="F7" s="193">
        <v>134928.32999999999</v>
      </c>
      <c r="G7" s="193">
        <v>128111.12</v>
      </c>
      <c r="H7" s="193">
        <v>133224.01999999999</v>
      </c>
      <c r="I7" s="193">
        <v>130383.52</v>
      </c>
      <c r="J7" s="193">
        <v>131803.76999999999</v>
      </c>
      <c r="K7" s="193">
        <v>197158.29</v>
      </c>
      <c r="L7" s="193">
        <v>152199.22</v>
      </c>
      <c r="M7" s="193">
        <v>181831.64</v>
      </c>
      <c r="N7" s="193">
        <v>185369.84</v>
      </c>
      <c r="O7" s="193">
        <v>185369.84</v>
      </c>
      <c r="P7" s="193">
        <v>213910.67</v>
      </c>
    </row>
    <row r="8" spans="1:16" x14ac:dyDescent="0.25">
      <c r="A8" s="190">
        <v>801010402</v>
      </c>
      <c r="B8" s="190" t="s">
        <v>412</v>
      </c>
      <c r="C8" s="190">
        <v>1131</v>
      </c>
      <c r="D8" s="190" t="s">
        <v>408</v>
      </c>
      <c r="E8" s="193">
        <v>179493.82</v>
      </c>
      <c r="F8" s="193">
        <v>165859.43</v>
      </c>
      <c r="G8" s="193">
        <v>175091.08</v>
      </c>
      <c r="H8" s="193">
        <v>170688.3</v>
      </c>
      <c r="I8" s="193">
        <v>165433.38</v>
      </c>
      <c r="J8" s="193">
        <v>166427.56</v>
      </c>
      <c r="K8" s="193">
        <v>236994.98</v>
      </c>
      <c r="L8" s="193">
        <v>116659.74</v>
      </c>
      <c r="M8" s="193">
        <v>205533.18</v>
      </c>
      <c r="N8" s="193">
        <v>208779.72</v>
      </c>
      <c r="O8" s="193">
        <v>209074.58</v>
      </c>
      <c r="P8" s="193">
        <v>235666.55</v>
      </c>
    </row>
    <row r="9" spans="1:16" x14ac:dyDescent="0.25">
      <c r="A9" s="190">
        <v>801010402</v>
      </c>
      <c r="B9" s="190" t="s">
        <v>413</v>
      </c>
      <c r="C9" s="190">
        <v>1131</v>
      </c>
      <c r="D9" s="190" t="s">
        <v>408</v>
      </c>
      <c r="E9" s="193">
        <v>156627.85</v>
      </c>
      <c r="F9" s="193">
        <v>140436.98000000001</v>
      </c>
      <c r="G9" s="193">
        <v>146544.06</v>
      </c>
      <c r="H9" s="193">
        <v>146544.06</v>
      </c>
      <c r="I9" s="193">
        <v>146544.06</v>
      </c>
      <c r="J9" s="193">
        <v>146544.06</v>
      </c>
      <c r="K9" s="193">
        <v>199402.55</v>
      </c>
      <c r="L9" s="193">
        <v>131234.15</v>
      </c>
      <c r="M9" s="193">
        <v>155706.72</v>
      </c>
      <c r="N9" s="193">
        <v>164404.79999999999</v>
      </c>
      <c r="O9" s="193">
        <v>162340.85</v>
      </c>
      <c r="P9" s="193">
        <v>186909.14</v>
      </c>
    </row>
    <row r="10" spans="1:16" x14ac:dyDescent="0.25">
      <c r="A10" s="190">
        <v>801010402</v>
      </c>
      <c r="B10" s="190" t="s">
        <v>414</v>
      </c>
      <c r="C10" s="190">
        <v>1131</v>
      </c>
      <c r="D10" s="190" t="s">
        <v>408</v>
      </c>
      <c r="E10" s="193">
        <v>166082.43</v>
      </c>
      <c r="F10" s="193">
        <v>153994.60999999999</v>
      </c>
      <c r="G10" s="193">
        <v>170404.26</v>
      </c>
      <c r="H10" s="193">
        <v>170404.26</v>
      </c>
      <c r="I10" s="193">
        <v>163967.47</v>
      </c>
      <c r="J10" s="193">
        <v>165321.70000000001</v>
      </c>
      <c r="K10" s="193">
        <v>232781.44</v>
      </c>
      <c r="L10" s="193">
        <v>187108.23</v>
      </c>
      <c r="M10" s="193">
        <v>224996.46</v>
      </c>
      <c r="N10" s="193">
        <v>227060.42</v>
      </c>
      <c r="O10" s="193">
        <v>227944.94</v>
      </c>
      <c r="P10" s="193">
        <v>248801.68</v>
      </c>
    </row>
    <row r="11" spans="1:16" x14ac:dyDescent="0.25">
      <c r="A11" s="190">
        <v>801010402</v>
      </c>
      <c r="B11" s="190" t="s">
        <v>415</v>
      </c>
      <c r="C11" s="190">
        <v>1131</v>
      </c>
      <c r="D11" s="190" t="s">
        <v>408</v>
      </c>
      <c r="E11" s="193">
        <v>122461.5</v>
      </c>
      <c r="F11" s="193">
        <v>116212.41</v>
      </c>
      <c r="G11" s="193">
        <v>112803.82</v>
      </c>
      <c r="H11" s="193">
        <v>115644.32</v>
      </c>
      <c r="I11" s="193">
        <v>115218.24000000001</v>
      </c>
      <c r="J11" s="193">
        <v>110389.39</v>
      </c>
      <c r="K11" s="193">
        <v>163909.04</v>
      </c>
      <c r="L11" s="193">
        <v>127823.58</v>
      </c>
      <c r="M11" s="193">
        <v>161741.89000000001</v>
      </c>
      <c r="N11" s="193">
        <v>164034.59</v>
      </c>
      <c r="O11" s="193">
        <v>167720.22</v>
      </c>
      <c r="P11" s="193">
        <v>172692.75</v>
      </c>
    </row>
    <row r="12" spans="1:16" x14ac:dyDescent="0.25">
      <c r="A12" s="190">
        <v>801010402</v>
      </c>
      <c r="B12" s="190" t="s">
        <v>416</v>
      </c>
      <c r="C12" s="190">
        <v>1131</v>
      </c>
      <c r="D12" s="190" t="s">
        <v>408</v>
      </c>
      <c r="E12" s="193">
        <v>164155.20000000001</v>
      </c>
      <c r="F12" s="193">
        <v>151656.99</v>
      </c>
      <c r="G12" s="193">
        <v>153189.73000000001</v>
      </c>
      <c r="H12" s="193">
        <v>158586.70000000001</v>
      </c>
      <c r="I12" s="193">
        <v>154781.54</v>
      </c>
      <c r="J12" s="193">
        <v>154781.54</v>
      </c>
      <c r="K12" s="193">
        <v>221654.77</v>
      </c>
      <c r="L12" s="193">
        <v>161898.57</v>
      </c>
      <c r="M12" s="193">
        <v>200376.56</v>
      </c>
      <c r="N12" s="193">
        <v>206715.84</v>
      </c>
      <c r="O12" s="193">
        <v>211875.72</v>
      </c>
      <c r="P12" s="193">
        <v>246391.48</v>
      </c>
    </row>
    <row r="13" spans="1:16" x14ac:dyDescent="0.25">
      <c r="A13" s="190">
        <v>801010402</v>
      </c>
      <c r="B13" s="190" t="s">
        <v>417</v>
      </c>
      <c r="C13" s="190">
        <v>1131</v>
      </c>
      <c r="D13" s="190" t="s">
        <v>408</v>
      </c>
      <c r="E13" s="193">
        <v>206194.64</v>
      </c>
      <c r="F13" s="193">
        <v>204317.93</v>
      </c>
      <c r="G13" s="193">
        <v>216105.98</v>
      </c>
      <c r="H13" s="193">
        <v>217526.24</v>
      </c>
      <c r="I13" s="193">
        <v>228036.1</v>
      </c>
      <c r="J13" s="193">
        <v>228036.1</v>
      </c>
      <c r="K13" s="193">
        <v>318609.90999999997</v>
      </c>
      <c r="L13" s="193">
        <v>246637.25</v>
      </c>
      <c r="M13" s="193">
        <v>263738.5</v>
      </c>
      <c r="N13" s="193">
        <v>274353.09999999998</v>
      </c>
      <c r="O13" s="193">
        <v>267571.56</v>
      </c>
      <c r="P13" s="193">
        <v>300727.71000000002</v>
      </c>
    </row>
    <row r="14" spans="1:16" x14ac:dyDescent="0.25">
      <c r="A14" s="190">
        <v>801010402</v>
      </c>
      <c r="B14" s="190" t="s">
        <v>419</v>
      </c>
      <c r="C14" s="190">
        <v>1131</v>
      </c>
      <c r="D14" s="190" t="s">
        <v>408</v>
      </c>
      <c r="E14" s="193">
        <v>221533.38</v>
      </c>
      <c r="F14" s="193">
        <v>208609.07</v>
      </c>
      <c r="G14" s="193">
        <v>197673.09</v>
      </c>
      <c r="H14" s="193">
        <v>200087.52</v>
      </c>
      <c r="I14" s="193">
        <v>199945.5</v>
      </c>
      <c r="J14" s="193">
        <v>199945.5</v>
      </c>
      <c r="K14" s="193">
        <v>278297.55</v>
      </c>
      <c r="L14" s="193">
        <v>193594.98</v>
      </c>
      <c r="M14" s="193">
        <v>226470.8</v>
      </c>
      <c r="N14" s="193">
        <v>226470.8</v>
      </c>
      <c r="O14" s="193">
        <v>228682.21</v>
      </c>
      <c r="P14" s="193">
        <v>260747.19</v>
      </c>
    </row>
    <row r="15" spans="1:16" x14ac:dyDescent="0.25">
      <c r="A15" s="190">
        <v>801010402</v>
      </c>
      <c r="B15" s="190" t="s">
        <v>420</v>
      </c>
      <c r="C15" s="190">
        <v>1131</v>
      </c>
      <c r="D15" s="190" t="s">
        <v>408</v>
      </c>
      <c r="E15" s="193">
        <v>281877.12</v>
      </c>
      <c r="F15" s="193">
        <v>259579.15</v>
      </c>
      <c r="G15" s="193">
        <v>244240.41</v>
      </c>
      <c r="H15" s="193">
        <v>243814.34</v>
      </c>
      <c r="I15" s="193">
        <v>242820.16</v>
      </c>
      <c r="J15" s="193">
        <v>243388.25</v>
      </c>
      <c r="K15" s="193">
        <v>334915.93</v>
      </c>
      <c r="L15" s="193">
        <v>254309.77</v>
      </c>
      <c r="M15" s="193">
        <v>292198.05</v>
      </c>
      <c r="N15" s="193">
        <v>290871.21999999997</v>
      </c>
      <c r="O15" s="193">
        <v>295293.96000000002</v>
      </c>
      <c r="P15" s="193">
        <v>337366.28</v>
      </c>
    </row>
    <row r="16" spans="1:16" x14ac:dyDescent="0.25">
      <c r="A16" s="190">
        <v>801010402</v>
      </c>
      <c r="B16" s="190" t="s">
        <v>421</v>
      </c>
      <c r="C16" s="190">
        <v>1131</v>
      </c>
      <c r="D16" s="190" t="s">
        <v>408</v>
      </c>
      <c r="E16" s="193">
        <v>177221.44</v>
      </c>
      <c r="F16" s="193">
        <v>170972.33</v>
      </c>
      <c r="G16" s="193">
        <v>171824.46</v>
      </c>
      <c r="H16" s="193">
        <v>169125.99</v>
      </c>
      <c r="I16" s="193">
        <v>171540.42</v>
      </c>
      <c r="J16" s="193">
        <v>171540.42</v>
      </c>
      <c r="K16" s="193">
        <v>246955.51</v>
      </c>
      <c r="L16" s="193">
        <v>190204.11</v>
      </c>
      <c r="M16" s="193">
        <v>209664.22</v>
      </c>
      <c r="N16" s="193">
        <v>212612.72</v>
      </c>
      <c r="O16" s="193">
        <v>212760.14</v>
      </c>
      <c r="P16" s="193">
        <v>245762.74</v>
      </c>
    </row>
    <row r="17" spans="1:16" x14ac:dyDescent="0.25">
      <c r="A17" s="190">
        <v>801010402</v>
      </c>
      <c r="B17" s="190" t="s">
        <v>422</v>
      </c>
      <c r="C17" s="190">
        <v>1131</v>
      </c>
      <c r="D17" s="190" t="s">
        <v>408</v>
      </c>
      <c r="E17" s="193">
        <v>240280.6</v>
      </c>
      <c r="F17" s="193">
        <v>225083.91</v>
      </c>
      <c r="G17" s="193">
        <v>220965.2</v>
      </c>
      <c r="H17" s="193">
        <v>220965.2</v>
      </c>
      <c r="I17" s="193">
        <v>218692.8</v>
      </c>
      <c r="J17" s="193">
        <v>215852.28</v>
      </c>
      <c r="K17" s="193">
        <v>300419.71000000002</v>
      </c>
      <c r="L17" s="193">
        <v>233272.99</v>
      </c>
      <c r="M17" s="193">
        <v>295465.78999999998</v>
      </c>
      <c r="N17" s="193">
        <v>301067.95</v>
      </c>
      <c r="O17" s="193">
        <v>306375.26</v>
      </c>
      <c r="P17" s="193">
        <v>321482.71999999997</v>
      </c>
    </row>
    <row r="18" spans="1:16" x14ac:dyDescent="0.25">
      <c r="A18" s="190">
        <v>801010402</v>
      </c>
      <c r="B18" s="190" t="s">
        <v>423</v>
      </c>
      <c r="C18" s="190">
        <v>1131</v>
      </c>
      <c r="D18" s="190" t="s">
        <v>408</v>
      </c>
      <c r="E18" s="193">
        <v>146575.26999999999</v>
      </c>
      <c r="F18" s="193">
        <v>140863.1</v>
      </c>
      <c r="G18" s="193">
        <v>138306.64000000001</v>
      </c>
      <c r="H18" s="193">
        <v>138306.64000000001</v>
      </c>
      <c r="I18" s="193">
        <v>138306.64000000001</v>
      </c>
      <c r="J18" s="193">
        <v>138306.64000000001</v>
      </c>
      <c r="K18" s="193">
        <v>203128.28</v>
      </c>
      <c r="L18" s="193">
        <v>151284</v>
      </c>
      <c r="M18" s="193">
        <v>194037.27</v>
      </c>
      <c r="N18" s="193">
        <v>196690.92</v>
      </c>
      <c r="O18" s="193">
        <v>198165.15</v>
      </c>
      <c r="P18" s="193">
        <v>235262.36</v>
      </c>
    </row>
    <row r="19" spans="1:16" x14ac:dyDescent="0.25">
      <c r="A19" s="190">
        <v>801010402</v>
      </c>
      <c r="B19" s="190" t="s">
        <v>424</v>
      </c>
      <c r="C19" s="190">
        <v>1131</v>
      </c>
      <c r="D19" s="190" t="s">
        <v>408</v>
      </c>
      <c r="E19" s="193">
        <v>241257.84</v>
      </c>
      <c r="F19" s="193">
        <v>198964.72</v>
      </c>
      <c r="G19" s="193">
        <v>215977.38</v>
      </c>
      <c r="H19" s="193">
        <v>218533.83</v>
      </c>
      <c r="I19" s="193">
        <v>221090.28</v>
      </c>
      <c r="J19" s="193">
        <v>223646.7</v>
      </c>
      <c r="K19" s="193">
        <v>308942.84000000003</v>
      </c>
      <c r="L19" s="193">
        <v>232638.21</v>
      </c>
      <c r="M19" s="193">
        <v>343032.11</v>
      </c>
      <c r="N19" s="193">
        <v>353420.74</v>
      </c>
      <c r="O19" s="193">
        <v>369490.06</v>
      </c>
      <c r="P19" s="193">
        <v>396684.46</v>
      </c>
    </row>
    <row r="20" spans="1:16" x14ac:dyDescent="0.25">
      <c r="A20" s="190">
        <v>801010402</v>
      </c>
      <c r="B20" s="190" t="s">
        <v>425</v>
      </c>
      <c r="C20" s="190">
        <v>1131</v>
      </c>
      <c r="D20" s="190" t="s">
        <v>408</v>
      </c>
      <c r="E20" s="193">
        <v>133224.06</v>
      </c>
      <c r="F20" s="193">
        <v>102435.77</v>
      </c>
      <c r="G20" s="193">
        <v>103745.16</v>
      </c>
      <c r="H20" s="193">
        <v>90904.83</v>
      </c>
      <c r="I20" s="193">
        <v>78064.5</v>
      </c>
      <c r="J20" s="193">
        <v>88228</v>
      </c>
      <c r="K20" s="193">
        <v>142535.03</v>
      </c>
      <c r="L20" s="193">
        <v>102913.85</v>
      </c>
      <c r="M20" s="193">
        <v>137670.28</v>
      </c>
      <c r="N20" s="193">
        <v>136719.64000000001</v>
      </c>
      <c r="O20" s="193">
        <v>153231.23000000001</v>
      </c>
      <c r="P20" s="193">
        <v>162358.44</v>
      </c>
    </row>
    <row r="21" spans="1:16" x14ac:dyDescent="0.25">
      <c r="A21" s="190">
        <v>801010402</v>
      </c>
      <c r="B21" s="190" t="s">
        <v>426</v>
      </c>
      <c r="C21" s="190">
        <v>1131</v>
      </c>
      <c r="D21" s="190" t="s">
        <v>408</v>
      </c>
      <c r="E21" s="193">
        <v>318016.64000000001</v>
      </c>
      <c r="F21" s="193">
        <v>254310.72</v>
      </c>
      <c r="G21" s="193">
        <v>275486.03999999998</v>
      </c>
      <c r="H21" s="193">
        <v>297357.92</v>
      </c>
      <c r="I21" s="193">
        <v>298920.2</v>
      </c>
      <c r="J21" s="193">
        <v>299488.3</v>
      </c>
      <c r="K21" s="193">
        <v>397855.67</v>
      </c>
      <c r="L21" s="193">
        <v>263745.05</v>
      </c>
      <c r="M21" s="193">
        <v>298242.46000000002</v>
      </c>
      <c r="N21" s="193">
        <v>325663.53000000003</v>
      </c>
      <c r="O21" s="193">
        <v>328166.55</v>
      </c>
      <c r="P21" s="193">
        <v>367733.06</v>
      </c>
    </row>
    <row r="22" spans="1:16" x14ac:dyDescent="0.25">
      <c r="A22" s="190">
        <v>801010402</v>
      </c>
      <c r="B22" s="190" t="s">
        <v>427</v>
      </c>
      <c r="C22" s="190">
        <v>1131</v>
      </c>
      <c r="D22" s="190" t="s">
        <v>408</v>
      </c>
      <c r="E22" s="193">
        <v>183216.88</v>
      </c>
      <c r="F22" s="193">
        <v>172707.02</v>
      </c>
      <c r="G22" s="193">
        <v>162197.16</v>
      </c>
      <c r="H22" s="193">
        <v>162197.16</v>
      </c>
      <c r="I22" s="193">
        <v>162623.23000000001</v>
      </c>
      <c r="J22" s="193">
        <v>162481.20000000001</v>
      </c>
      <c r="K22" s="193">
        <v>234029.2</v>
      </c>
      <c r="L22" s="193">
        <v>181536.83</v>
      </c>
      <c r="M22" s="193">
        <v>213881.29</v>
      </c>
      <c r="N22" s="193">
        <v>216151.02</v>
      </c>
      <c r="O22" s="193">
        <v>217625.24</v>
      </c>
      <c r="P22" s="193">
        <v>247843.97</v>
      </c>
    </row>
    <row r="23" spans="1:16" x14ac:dyDescent="0.25">
      <c r="A23" s="190">
        <v>801010402</v>
      </c>
      <c r="B23" s="190" t="s">
        <v>428</v>
      </c>
      <c r="C23" s="190">
        <v>1131</v>
      </c>
      <c r="D23" s="190" t="s">
        <v>408</v>
      </c>
      <c r="E23" s="193">
        <v>270389.90000000002</v>
      </c>
      <c r="F23" s="193">
        <v>241842.87</v>
      </c>
      <c r="G23" s="193">
        <v>226646.2</v>
      </c>
      <c r="H23" s="193">
        <v>226646.2</v>
      </c>
      <c r="I23" s="193">
        <v>226646.2</v>
      </c>
      <c r="J23" s="193">
        <v>230054.8</v>
      </c>
      <c r="K23" s="193">
        <v>321619.52</v>
      </c>
      <c r="L23" s="193">
        <v>245861.99</v>
      </c>
      <c r="M23" s="193">
        <v>284860.71000000002</v>
      </c>
      <c r="N23" s="193">
        <v>286777.24</v>
      </c>
      <c r="O23" s="193">
        <v>294581.11</v>
      </c>
      <c r="P23" s="193">
        <v>330062.32</v>
      </c>
    </row>
    <row r="24" spans="1:16" x14ac:dyDescent="0.25">
      <c r="A24" s="190">
        <v>801010402</v>
      </c>
      <c r="B24" s="190" t="s">
        <v>429</v>
      </c>
      <c r="C24" s="190">
        <v>1131</v>
      </c>
      <c r="D24" s="190" t="s">
        <v>408</v>
      </c>
      <c r="E24" s="193">
        <v>141319.54</v>
      </c>
      <c r="F24" s="193">
        <v>133255.23000000001</v>
      </c>
      <c r="G24" s="193">
        <v>140609.35999999999</v>
      </c>
      <c r="H24" s="193">
        <v>141177.46</v>
      </c>
      <c r="I24" s="193">
        <v>141745.56</v>
      </c>
      <c r="J24" s="193">
        <v>141745.56</v>
      </c>
      <c r="K24" s="193">
        <v>205264.39</v>
      </c>
      <c r="L24" s="193">
        <v>132149.45000000001</v>
      </c>
      <c r="M24" s="193">
        <v>131707.22</v>
      </c>
      <c r="N24" s="193">
        <v>139932.31</v>
      </c>
      <c r="O24" s="193">
        <v>143912.76999999999</v>
      </c>
      <c r="P24" s="193">
        <v>173461.17</v>
      </c>
    </row>
    <row r="25" spans="1:16" x14ac:dyDescent="0.25">
      <c r="A25" s="190">
        <v>801010402</v>
      </c>
      <c r="B25" s="190" t="s">
        <v>430</v>
      </c>
      <c r="C25" s="190">
        <v>1131</v>
      </c>
      <c r="D25" s="190" t="s">
        <v>408</v>
      </c>
      <c r="E25" s="193">
        <v>193696.36</v>
      </c>
      <c r="F25" s="193">
        <v>178215.66</v>
      </c>
      <c r="G25" s="193">
        <v>187731.36</v>
      </c>
      <c r="H25" s="193">
        <v>187731.36</v>
      </c>
      <c r="I25" s="193">
        <v>166879.56</v>
      </c>
      <c r="J25" s="193">
        <v>166879.56</v>
      </c>
      <c r="K25" s="193">
        <v>246746.41</v>
      </c>
      <c r="L25" s="193">
        <v>191825.89</v>
      </c>
      <c r="M25" s="193">
        <v>246962.87</v>
      </c>
      <c r="N25" s="193">
        <v>246225.75</v>
      </c>
      <c r="O25" s="193">
        <v>244604.07</v>
      </c>
      <c r="P25" s="193">
        <v>274605.15000000002</v>
      </c>
    </row>
    <row r="26" spans="1:16" x14ac:dyDescent="0.25">
      <c r="A26" s="190">
        <v>801010402</v>
      </c>
      <c r="B26" s="190" t="s">
        <v>431</v>
      </c>
      <c r="C26" s="190">
        <v>1131</v>
      </c>
      <c r="D26" s="190" t="s">
        <v>408</v>
      </c>
      <c r="E26" s="193">
        <v>206762.64</v>
      </c>
      <c r="F26" s="193">
        <v>192560.14</v>
      </c>
      <c r="G26" s="193">
        <v>188867.5</v>
      </c>
      <c r="H26" s="193">
        <v>189009.53</v>
      </c>
      <c r="I26" s="193">
        <v>189151.56</v>
      </c>
      <c r="J26" s="193">
        <v>189151.56</v>
      </c>
      <c r="K26" s="193">
        <v>266211.95</v>
      </c>
      <c r="L26" s="193">
        <v>200671.33</v>
      </c>
      <c r="M26" s="193">
        <v>251680.45</v>
      </c>
      <c r="N26" s="193">
        <v>260820.79</v>
      </c>
      <c r="O26" s="193">
        <v>260673.36</v>
      </c>
      <c r="P26" s="193">
        <v>292870.68</v>
      </c>
    </row>
    <row r="27" spans="1:16" x14ac:dyDescent="0.25">
      <c r="A27" s="190">
        <v>801010402</v>
      </c>
      <c r="B27" s="190" t="s">
        <v>432</v>
      </c>
      <c r="C27" s="190">
        <v>1131</v>
      </c>
      <c r="D27" s="190" t="s">
        <v>408</v>
      </c>
      <c r="E27" s="193">
        <v>268273.03999999998</v>
      </c>
      <c r="F27" s="193">
        <v>256058.88</v>
      </c>
      <c r="G27" s="193">
        <v>270971.53000000003</v>
      </c>
      <c r="H27" s="193">
        <v>274380.14</v>
      </c>
      <c r="I27" s="193">
        <v>282901.64</v>
      </c>
      <c r="J27" s="193">
        <v>283327.74</v>
      </c>
      <c r="K27" s="193">
        <v>375611.71</v>
      </c>
      <c r="L27" s="193">
        <v>293850.48</v>
      </c>
      <c r="M27" s="193">
        <v>327610.78000000003</v>
      </c>
      <c r="N27" s="193">
        <v>336308.86</v>
      </c>
      <c r="O27" s="193">
        <v>340879.02</v>
      </c>
      <c r="P27" s="193">
        <v>375155.36</v>
      </c>
    </row>
    <row r="28" spans="1:16" x14ac:dyDescent="0.25">
      <c r="A28" s="190">
        <v>801010402</v>
      </c>
      <c r="B28" s="190" t="s">
        <v>433</v>
      </c>
      <c r="C28" s="190">
        <v>1131</v>
      </c>
      <c r="D28" s="190" t="s">
        <v>408</v>
      </c>
      <c r="E28" s="193">
        <v>139282.85999999999</v>
      </c>
      <c r="F28" s="193">
        <v>145389.91</v>
      </c>
      <c r="G28" s="193">
        <v>151496.95999999999</v>
      </c>
      <c r="H28" s="193">
        <v>151496.95999999999</v>
      </c>
      <c r="I28" s="193">
        <v>162858.96</v>
      </c>
      <c r="J28" s="193">
        <v>162858.96</v>
      </c>
      <c r="K28" s="193">
        <v>223632.37</v>
      </c>
      <c r="L28" s="193">
        <v>179056.75</v>
      </c>
      <c r="M28" s="193">
        <v>220335.78</v>
      </c>
      <c r="N28" s="193">
        <v>220335.78</v>
      </c>
      <c r="O28" s="193">
        <v>220335.78</v>
      </c>
      <c r="P28" s="193">
        <v>220335.78</v>
      </c>
    </row>
    <row r="29" spans="1:16" x14ac:dyDescent="0.25">
      <c r="A29" s="190">
        <v>801010402</v>
      </c>
      <c r="B29" s="190" t="s">
        <v>434</v>
      </c>
      <c r="C29" s="190">
        <v>1131</v>
      </c>
      <c r="D29" s="190" t="s">
        <v>408</v>
      </c>
      <c r="E29" s="193">
        <v>129341.01</v>
      </c>
      <c r="F29" s="193">
        <v>121955.74</v>
      </c>
      <c r="G29" s="193">
        <v>118263.12</v>
      </c>
      <c r="H29" s="193">
        <v>118263.12</v>
      </c>
      <c r="I29" s="193">
        <v>118263.12</v>
      </c>
      <c r="J29" s="193">
        <v>118263.12</v>
      </c>
      <c r="K29" s="193">
        <v>167581.89000000001</v>
      </c>
      <c r="L29" s="193">
        <v>139989.13</v>
      </c>
      <c r="M29" s="193">
        <v>179499.06</v>
      </c>
      <c r="N29" s="193">
        <v>179499.06</v>
      </c>
      <c r="O29" s="193">
        <v>177877.38</v>
      </c>
      <c r="P29" s="193">
        <v>177877.38</v>
      </c>
    </row>
    <row r="30" spans="1:16" x14ac:dyDescent="0.25">
      <c r="A30" s="190">
        <v>801010402</v>
      </c>
      <c r="B30" s="190" t="s">
        <v>435</v>
      </c>
      <c r="C30" s="190">
        <v>1131</v>
      </c>
      <c r="D30" s="190" t="s">
        <v>408</v>
      </c>
      <c r="E30" s="191">
        <v>0</v>
      </c>
      <c r="F30" s="193">
        <v>96831.21</v>
      </c>
      <c r="G30" s="193">
        <v>51398.78</v>
      </c>
      <c r="H30" s="193">
        <v>51398.78</v>
      </c>
      <c r="I30" s="193">
        <v>53387.13</v>
      </c>
      <c r="J30" s="193">
        <v>59180.639999999999</v>
      </c>
      <c r="K30" s="193">
        <v>95742.55</v>
      </c>
      <c r="L30" s="193">
        <v>67308.55</v>
      </c>
      <c r="M30" s="193">
        <v>87505.8</v>
      </c>
      <c r="N30" s="193">
        <v>88537.78</v>
      </c>
      <c r="O30" s="193">
        <v>89127.48</v>
      </c>
      <c r="P30" s="193">
        <v>89127.48</v>
      </c>
    </row>
    <row r="31" spans="1:16" x14ac:dyDescent="0.25">
      <c r="A31" s="190">
        <v>801010402</v>
      </c>
      <c r="B31" s="190" t="s">
        <v>436</v>
      </c>
      <c r="C31" s="190">
        <v>1131</v>
      </c>
      <c r="D31" s="190" t="s">
        <v>408</v>
      </c>
      <c r="E31" s="193">
        <v>117410.94</v>
      </c>
      <c r="F31" s="193">
        <v>114428.44</v>
      </c>
      <c r="G31" s="193">
        <v>117780.84</v>
      </c>
      <c r="H31" s="193">
        <v>119683.42</v>
      </c>
      <c r="I31" s="193">
        <v>119683.42</v>
      </c>
      <c r="J31" s="193">
        <v>119683.42</v>
      </c>
      <c r="K31" s="193">
        <v>170181.69</v>
      </c>
      <c r="L31" s="193">
        <v>137335.51999999999</v>
      </c>
      <c r="M31" s="193">
        <v>150456.32000000001</v>
      </c>
      <c r="N31" s="193">
        <v>150456.32000000001</v>
      </c>
      <c r="O31" s="193">
        <v>144264.46</v>
      </c>
      <c r="P31" s="193">
        <v>144264.46</v>
      </c>
    </row>
    <row r="32" spans="1:16" x14ac:dyDescent="0.25">
      <c r="A32" s="190">
        <v>801010402</v>
      </c>
      <c r="B32" s="190" t="s">
        <v>437</v>
      </c>
      <c r="C32" s="190">
        <v>1131</v>
      </c>
      <c r="D32" s="190" t="s">
        <v>408</v>
      </c>
      <c r="E32" s="191">
        <v>0</v>
      </c>
      <c r="F32" s="193">
        <v>121018.11</v>
      </c>
      <c r="G32" s="193">
        <v>264010.02</v>
      </c>
      <c r="H32" s="193">
        <v>137310.9</v>
      </c>
      <c r="I32" s="193">
        <v>130961.15</v>
      </c>
      <c r="J32" s="193">
        <v>129986.3</v>
      </c>
      <c r="K32" s="193">
        <v>222563.14</v>
      </c>
      <c r="L32" s="193">
        <v>150609.93</v>
      </c>
      <c r="M32" s="193">
        <v>157855.62</v>
      </c>
      <c r="N32" s="193">
        <v>155880.74</v>
      </c>
      <c r="O32" s="193">
        <v>157855.63</v>
      </c>
      <c r="P32" s="193">
        <v>264595.46000000002</v>
      </c>
    </row>
    <row r="33" spans="1:16" x14ac:dyDescent="0.25">
      <c r="A33" s="190">
        <v>801010402</v>
      </c>
      <c r="B33" s="190" t="s">
        <v>412</v>
      </c>
      <c r="C33" s="190">
        <v>1211</v>
      </c>
      <c r="D33" s="190" t="s">
        <v>408</v>
      </c>
      <c r="E33" s="191">
        <v>0</v>
      </c>
      <c r="F33" s="193">
        <v>11935.5</v>
      </c>
      <c r="G33" s="191">
        <v>0</v>
      </c>
      <c r="H33" s="193">
        <v>4774.2</v>
      </c>
      <c r="I33" s="191">
        <v>0</v>
      </c>
      <c r="J33" s="191">
        <v>0</v>
      </c>
      <c r="K33" s="191">
        <v>0</v>
      </c>
      <c r="L33" s="191">
        <v>0</v>
      </c>
      <c r="M33" s="191">
        <v>0</v>
      </c>
      <c r="N33" s="191">
        <v>0</v>
      </c>
      <c r="O33" s="191">
        <v>0</v>
      </c>
      <c r="P33" s="191">
        <v>0</v>
      </c>
    </row>
    <row r="34" spans="1:16" x14ac:dyDescent="0.25">
      <c r="A34" s="190">
        <v>801010402</v>
      </c>
      <c r="B34" s="190" t="s">
        <v>424</v>
      </c>
      <c r="C34" s="190">
        <v>1211</v>
      </c>
      <c r="D34" s="190" t="s">
        <v>408</v>
      </c>
      <c r="E34" s="191">
        <v>0</v>
      </c>
      <c r="F34" s="191">
        <v>0</v>
      </c>
      <c r="G34" s="191">
        <v>0</v>
      </c>
      <c r="H34" s="191">
        <v>0</v>
      </c>
      <c r="I34" s="191">
        <v>0</v>
      </c>
      <c r="J34" s="191">
        <v>0</v>
      </c>
      <c r="K34" s="191">
        <v>0</v>
      </c>
      <c r="L34" s="191">
        <v>0</v>
      </c>
      <c r="M34" s="191">
        <v>0</v>
      </c>
      <c r="N34" s="193">
        <v>21483.89</v>
      </c>
      <c r="O34" s="191">
        <v>0</v>
      </c>
      <c r="P34" s="191">
        <v>0</v>
      </c>
    </row>
    <row r="35" spans="1:16" x14ac:dyDescent="0.25">
      <c r="A35" s="190">
        <v>801010402</v>
      </c>
      <c r="B35" s="190" t="s">
        <v>430</v>
      </c>
      <c r="C35" s="190">
        <v>1211</v>
      </c>
      <c r="D35" s="190" t="s">
        <v>408</v>
      </c>
      <c r="E35" s="191">
        <v>0</v>
      </c>
      <c r="F35" s="193">
        <v>60727.82</v>
      </c>
      <c r="G35" s="191">
        <v>0</v>
      </c>
      <c r="H35" s="191">
        <v>0</v>
      </c>
      <c r="I35" s="191">
        <v>0</v>
      </c>
      <c r="J35" s="191">
        <v>0</v>
      </c>
      <c r="K35" s="191">
        <v>0</v>
      </c>
      <c r="L35" s="191">
        <v>0</v>
      </c>
      <c r="M35" s="191">
        <v>0</v>
      </c>
      <c r="N35" s="191">
        <v>0</v>
      </c>
      <c r="O35" s="191">
        <v>0</v>
      </c>
      <c r="P35" s="191">
        <v>0</v>
      </c>
    </row>
    <row r="36" spans="1:16" x14ac:dyDescent="0.25">
      <c r="A36" s="190">
        <v>801010402</v>
      </c>
      <c r="B36" s="190" t="s">
        <v>407</v>
      </c>
      <c r="C36" s="190">
        <v>1321</v>
      </c>
      <c r="D36" s="190" t="s">
        <v>408</v>
      </c>
      <c r="E36" s="191">
        <v>0</v>
      </c>
      <c r="F36" s="191">
        <v>0</v>
      </c>
      <c r="G36" s="193">
        <v>186984.7</v>
      </c>
      <c r="H36" s="191">
        <v>0</v>
      </c>
      <c r="I36" s="191">
        <v>0</v>
      </c>
      <c r="J36" s="191">
        <v>0</v>
      </c>
      <c r="K36" s="191">
        <v>0</v>
      </c>
      <c r="L36" s="191">
        <v>0</v>
      </c>
      <c r="M36" s="191">
        <v>0</v>
      </c>
      <c r="N36" s="191">
        <v>0</v>
      </c>
      <c r="O36" s="191">
        <v>0</v>
      </c>
      <c r="P36" s="193">
        <v>452738.92</v>
      </c>
    </row>
    <row r="37" spans="1:16" x14ac:dyDescent="0.25">
      <c r="A37" s="190">
        <v>801010402</v>
      </c>
      <c r="B37" s="190" t="s">
        <v>410</v>
      </c>
      <c r="C37" s="190">
        <v>1321</v>
      </c>
      <c r="D37" s="190" t="s">
        <v>408</v>
      </c>
      <c r="E37" s="191">
        <v>0</v>
      </c>
      <c r="F37" s="191">
        <v>0</v>
      </c>
      <c r="G37" s="193">
        <v>56748.69</v>
      </c>
      <c r="H37" s="191">
        <v>0</v>
      </c>
      <c r="I37" s="191">
        <v>0</v>
      </c>
      <c r="J37" s="191">
        <v>0</v>
      </c>
      <c r="K37" s="191">
        <v>0</v>
      </c>
      <c r="L37" s="191">
        <v>0</v>
      </c>
      <c r="M37" s="191">
        <v>0</v>
      </c>
      <c r="N37" s="191">
        <v>0</v>
      </c>
      <c r="O37" s="191">
        <v>0</v>
      </c>
      <c r="P37" s="193">
        <v>70131.22</v>
      </c>
    </row>
    <row r="38" spans="1:16" x14ac:dyDescent="0.25">
      <c r="A38" s="190">
        <v>801010402</v>
      </c>
      <c r="B38" s="190" t="s">
        <v>411</v>
      </c>
      <c r="C38" s="190">
        <v>1321</v>
      </c>
      <c r="D38" s="190" t="s">
        <v>408</v>
      </c>
      <c r="E38" s="191">
        <v>0</v>
      </c>
      <c r="F38" s="191">
        <v>0</v>
      </c>
      <c r="G38" s="193">
        <v>51268.86</v>
      </c>
      <c r="H38" s="191">
        <v>0</v>
      </c>
      <c r="I38" s="191">
        <v>0</v>
      </c>
      <c r="J38" s="191">
        <v>0</v>
      </c>
      <c r="K38" s="191">
        <v>0</v>
      </c>
      <c r="L38" s="191">
        <v>0</v>
      </c>
      <c r="M38" s="191">
        <v>0</v>
      </c>
      <c r="N38" s="191">
        <v>0</v>
      </c>
      <c r="O38" s="191">
        <v>0</v>
      </c>
      <c r="P38" s="193">
        <v>79117.56</v>
      </c>
    </row>
    <row r="39" spans="1:16" x14ac:dyDescent="0.25">
      <c r="A39" s="190">
        <v>801010402</v>
      </c>
      <c r="B39" s="190" t="s">
        <v>412</v>
      </c>
      <c r="C39" s="190">
        <v>1321</v>
      </c>
      <c r="D39" s="190" t="s">
        <v>408</v>
      </c>
      <c r="E39" s="191">
        <v>0</v>
      </c>
      <c r="F39" s="191">
        <v>0</v>
      </c>
      <c r="G39" s="193">
        <v>65912.429999999993</v>
      </c>
      <c r="H39" s="191">
        <v>0</v>
      </c>
      <c r="I39" s="191">
        <v>0</v>
      </c>
      <c r="J39" s="191">
        <v>0</v>
      </c>
      <c r="K39" s="191">
        <v>0</v>
      </c>
      <c r="L39" s="191">
        <v>0</v>
      </c>
      <c r="M39" s="191">
        <v>0</v>
      </c>
      <c r="N39" s="191">
        <v>0</v>
      </c>
      <c r="O39" s="191">
        <v>0</v>
      </c>
      <c r="P39" s="193">
        <v>83114.03</v>
      </c>
    </row>
    <row r="40" spans="1:16" x14ac:dyDescent="0.25">
      <c r="A40" s="190">
        <v>801010402</v>
      </c>
      <c r="B40" s="190" t="s">
        <v>413</v>
      </c>
      <c r="C40" s="190">
        <v>1321</v>
      </c>
      <c r="D40" s="190" t="s">
        <v>408</v>
      </c>
      <c r="E40" s="191">
        <v>0</v>
      </c>
      <c r="F40" s="191">
        <v>0</v>
      </c>
      <c r="G40" s="193">
        <v>55713.58</v>
      </c>
      <c r="H40" s="191">
        <v>0</v>
      </c>
      <c r="I40" s="191">
        <v>0</v>
      </c>
      <c r="J40" s="191">
        <v>0</v>
      </c>
      <c r="K40" s="191">
        <v>0</v>
      </c>
      <c r="L40" s="191">
        <v>0</v>
      </c>
      <c r="M40" s="191">
        <v>0</v>
      </c>
      <c r="N40" s="191">
        <v>0</v>
      </c>
      <c r="O40" s="191">
        <v>0</v>
      </c>
      <c r="P40" s="193">
        <v>56039.39</v>
      </c>
    </row>
    <row r="41" spans="1:16" x14ac:dyDescent="0.25">
      <c r="A41" s="190">
        <v>801010402</v>
      </c>
      <c r="B41" s="190" t="s">
        <v>414</v>
      </c>
      <c r="C41" s="190">
        <v>1321</v>
      </c>
      <c r="D41" s="190" t="s">
        <v>408</v>
      </c>
      <c r="E41" s="191">
        <v>0</v>
      </c>
      <c r="F41" s="191">
        <v>0</v>
      </c>
      <c r="G41" s="193">
        <v>60993.15</v>
      </c>
      <c r="H41" s="191">
        <v>0</v>
      </c>
      <c r="I41" s="191">
        <v>0</v>
      </c>
      <c r="J41" s="191">
        <v>0</v>
      </c>
      <c r="K41" s="191">
        <v>0</v>
      </c>
      <c r="L41" s="191">
        <v>0</v>
      </c>
      <c r="M41" s="191">
        <v>0</v>
      </c>
      <c r="N41" s="191">
        <v>0</v>
      </c>
      <c r="O41" s="191">
        <v>0</v>
      </c>
      <c r="P41" s="193">
        <v>92004.14</v>
      </c>
    </row>
    <row r="42" spans="1:16" x14ac:dyDescent="0.25">
      <c r="A42" s="190">
        <v>801010402</v>
      </c>
      <c r="B42" s="190" t="s">
        <v>415</v>
      </c>
      <c r="C42" s="190">
        <v>1321</v>
      </c>
      <c r="D42" s="190" t="s">
        <v>408</v>
      </c>
      <c r="E42" s="191">
        <v>0</v>
      </c>
      <c r="F42" s="191">
        <v>0</v>
      </c>
      <c r="G42" s="193">
        <v>46143.51</v>
      </c>
      <c r="H42" s="191">
        <v>0</v>
      </c>
      <c r="I42" s="191">
        <v>0</v>
      </c>
      <c r="J42" s="191">
        <v>0</v>
      </c>
      <c r="K42" s="191">
        <v>0</v>
      </c>
      <c r="L42" s="191">
        <v>0</v>
      </c>
      <c r="M42" s="191">
        <v>0</v>
      </c>
      <c r="N42" s="191">
        <v>0</v>
      </c>
      <c r="O42" s="191">
        <v>0</v>
      </c>
      <c r="P42" s="193">
        <v>58312.19</v>
      </c>
    </row>
    <row r="43" spans="1:16" x14ac:dyDescent="0.25">
      <c r="A43" s="190">
        <v>801010402</v>
      </c>
      <c r="B43" s="190" t="s">
        <v>416</v>
      </c>
      <c r="C43" s="190">
        <v>1321</v>
      </c>
      <c r="D43" s="190" t="s">
        <v>408</v>
      </c>
      <c r="E43" s="191">
        <v>0</v>
      </c>
      <c r="F43" s="191">
        <v>0</v>
      </c>
      <c r="G43" s="193">
        <v>58321.73</v>
      </c>
      <c r="H43" s="191">
        <v>0</v>
      </c>
      <c r="I43" s="191">
        <v>0</v>
      </c>
      <c r="J43" s="191">
        <v>0</v>
      </c>
      <c r="K43" s="191">
        <v>0</v>
      </c>
      <c r="L43" s="191">
        <v>0</v>
      </c>
      <c r="M43" s="191">
        <v>0</v>
      </c>
      <c r="N43" s="191">
        <v>0</v>
      </c>
      <c r="O43" s="191">
        <v>0</v>
      </c>
      <c r="P43" s="193">
        <v>86505.02</v>
      </c>
    </row>
    <row r="44" spans="1:16" x14ac:dyDescent="0.25">
      <c r="A44" s="190">
        <v>801010402</v>
      </c>
      <c r="B44" s="190" t="s">
        <v>417</v>
      </c>
      <c r="C44" s="190">
        <v>1321</v>
      </c>
      <c r="D44" s="190" t="s">
        <v>408</v>
      </c>
      <c r="E44" s="191">
        <v>0</v>
      </c>
      <c r="F44" s="191">
        <v>0</v>
      </c>
      <c r="G44" s="193">
        <v>74463.16</v>
      </c>
      <c r="H44" s="191">
        <v>0</v>
      </c>
      <c r="I44" s="191">
        <v>0</v>
      </c>
      <c r="J44" s="191">
        <v>0</v>
      </c>
      <c r="K44" s="191">
        <v>0</v>
      </c>
      <c r="L44" s="191">
        <v>0</v>
      </c>
      <c r="M44" s="191">
        <v>0</v>
      </c>
      <c r="N44" s="191">
        <v>0</v>
      </c>
      <c r="O44" s="191">
        <v>0</v>
      </c>
      <c r="P44" s="193">
        <v>116306.16</v>
      </c>
    </row>
    <row r="45" spans="1:16" x14ac:dyDescent="0.25">
      <c r="A45" s="190">
        <v>801010402</v>
      </c>
      <c r="B45" s="190" t="s">
        <v>419</v>
      </c>
      <c r="C45" s="190">
        <v>1321</v>
      </c>
      <c r="D45" s="190" t="s">
        <v>408</v>
      </c>
      <c r="E45" s="191">
        <v>0</v>
      </c>
      <c r="F45" s="191">
        <v>0</v>
      </c>
      <c r="G45" s="193">
        <v>80023.820000000007</v>
      </c>
      <c r="H45" s="191">
        <v>0</v>
      </c>
      <c r="I45" s="191">
        <v>0</v>
      </c>
      <c r="J45" s="191">
        <v>0</v>
      </c>
      <c r="K45" s="191">
        <v>0</v>
      </c>
      <c r="L45" s="191">
        <v>0</v>
      </c>
      <c r="M45" s="191">
        <v>0</v>
      </c>
      <c r="N45" s="191">
        <v>0</v>
      </c>
      <c r="O45" s="191">
        <v>0</v>
      </c>
      <c r="P45" s="193">
        <v>94469.22</v>
      </c>
    </row>
    <row r="46" spans="1:16" x14ac:dyDescent="0.25">
      <c r="A46" s="190">
        <v>801010402</v>
      </c>
      <c r="B46" s="190" t="s">
        <v>420</v>
      </c>
      <c r="C46" s="190">
        <v>1321</v>
      </c>
      <c r="D46" s="190" t="s">
        <v>408</v>
      </c>
      <c r="E46" s="191">
        <v>0</v>
      </c>
      <c r="F46" s="191">
        <v>0</v>
      </c>
      <c r="G46" s="193">
        <v>94965.81</v>
      </c>
      <c r="H46" s="191">
        <v>0</v>
      </c>
      <c r="I46" s="191">
        <v>0</v>
      </c>
      <c r="J46" s="191">
        <v>0</v>
      </c>
      <c r="K46" s="191">
        <v>0</v>
      </c>
      <c r="L46" s="191">
        <v>0</v>
      </c>
      <c r="M46" s="191">
        <v>0</v>
      </c>
      <c r="N46" s="191">
        <v>0</v>
      </c>
      <c r="O46" s="191">
        <v>0</v>
      </c>
      <c r="P46" s="193">
        <v>128024.61</v>
      </c>
    </row>
    <row r="47" spans="1:16" x14ac:dyDescent="0.25">
      <c r="A47" s="190">
        <v>801010402</v>
      </c>
      <c r="B47" s="190" t="s">
        <v>421</v>
      </c>
      <c r="C47" s="190">
        <v>1321</v>
      </c>
      <c r="D47" s="190" t="s">
        <v>408</v>
      </c>
      <c r="E47" s="191">
        <v>0</v>
      </c>
      <c r="F47" s="191">
        <v>0</v>
      </c>
      <c r="G47" s="193">
        <v>68851.47</v>
      </c>
      <c r="H47" s="191">
        <v>0</v>
      </c>
      <c r="I47" s="191">
        <v>0</v>
      </c>
      <c r="J47" s="191">
        <v>0</v>
      </c>
      <c r="K47" s="191">
        <v>0</v>
      </c>
      <c r="L47" s="191">
        <v>0</v>
      </c>
      <c r="M47" s="191">
        <v>0</v>
      </c>
      <c r="N47" s="191">
        <v>0</v>
      </c>
      <c r="O47" s="191">
        <v>0</v>
      </c>
      <c r="P47" s="193">
        <v>92583.39</v>
      </c>
    </row>
    <row r="48" spans="1:16" x14ac:dyDescent="0.25">
      <c r="A48" s="190">
        <v>801010402</v>
      </c>
      <c r="B48" s="190" t="s">
        <v>422</v>
      </c>
      <c r="C48" s="190">
        <v>1321</v>
      </c>
      <c r="D48" s="190" t="s">
        <v>408</v>
      </c>
      <c r="E48" s="191">
        <v>0</v>
      </c>
      <c r="F48" s="191">
        <v>0</v>
      </c>
      <c r="G48" s="193">
        <v>90290.68</v>
      </c>
      <c r="H48" s="191">
        <v>0</v>
      </c>
      <c r="I48" s="191">
        <v>0</v>
      </c>
      <c r="J48" s="191">
        <v>0</v>
      </c>
      <c r="K48" s="191">
        <v>0</v>
      </c>
      <c r="L48" s="191">
        <v>0</v>
      </c>
      <c r="M48" s="191">
        <v>0</v>
      </c>
      <c r="N48" s="191">
        <v>0</v>
      </c>
      <c r="O48" s="191">
        <v>0</v>
      </c>
      <c r="P48" s="193">
        <v>117205.6</v>
      </c>
    </row>
    <row r="49" spans="1:16" x14ac:dyDescent="0.25">
      <c r="A49" s="190">
        <v>801010402</v>
      </c>
      <c r="B49" s="190" t="s">
        <v>423</v>
      </c>
      <c r="C49" s="190">
        <v>1321</v>
      </c>
      <c r="D49" s="190" t="s">
        <v>408</v>
      </c>
      <c r="E49" s="191">
        <v>0</v>
      </c>
      <c r="F49" s="191">
        <v>0</v>
      </c>
      <c r="G49" s="193">
        <v>54055.53</v>
      </c>
      <c r="H49" s="191">
        <v>0</v>
      </c>
      <c r="I49" s="191">
        <v>0</v>
      </c>
      <c r="J49" s="191">
        <v>0</v>
      </c>
      <c r="K49" s="191">
        <v>0</v>
      </c>
      <c r="L49" s="191">
        <v>0</v>
      </c>
      <c r="M49" s="191">
        <v>0</v>
      </c>
      <c r="N49" s="191">
        <v>0</v>
      </c>
      <c r="O49" s="191">
        <v>0</v>
      </c>
      <c r="P49" s="193">
        <v>82482.7</v>
      </c>
    </row>
    <row r="50" spans="1:16" x14ac:dyDescent="0.25">
      <c r="A50" s="190">
        <v>801010402</v>
      </c>
      <c r="B50" s="190" t="s">
        <v>424</v>
      </c>
      <c r="C50" s="190">
        <v>1321</v>
      </c>
      <c r="D50" s="190" t="s">
        <v>408</v>
      </c>
      <c r="E50" s="191">
        <v>0</v>
      </c>
      <c r="F50" s="191">
        <v>0</v>
      </c>
      <c r="G50" s="193">
        <v>82902.259999999995</v>
      </c>
      <c r="H50" s="191">
        <v>0</v>
      </c>
      <c r="I50" s="191">
        <v>0</v>
      </c>
      <c r="J50" s="191">
        <v>0</v>
      </c>
      <c r="K50" s="191">
        <v>0</v>
      </c>
      <c r="L50" s="191">
        <v>0</v>
      </c>
      <c r="M50" s="191">
        <v>0</v>
      </c>
      <c r="N50" s="191">
        <v>0</v>
      </c>
      <c r="O50" s="191">
        <v>0</v>
      </c>
      <c r="P50" s="193">
        <v>129433.57</v>
      </c>
    </row>
    <row r="51" spans="1:16" x14ac:dyDescent="0.25">
      <c r="A51" s="190">
        <v>801010402</v>
      </c>
      <c r="B51" s="190" t="s">
        <v>425</v>
      </c>
      <c r="C51" s="190">
        <v>1321</v>
      </c>
      <c r="D51" s="190" t="s">
        <v>408</v>
      </c>
      <c r="E51" s="191">
        <v>0</v>
      </c>
      <c r="F51" s="191">
        <v>0</v>
      </c>
      <c r="G51" s="193">
        <v>38121.5</v>
      </c>
      <c r="H51" s="191">
        <v>0</v>
      </c>
      <c r="I51" s="191">
        <v>0</v>
      </c>
      <c r="J51" s="191"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193">
        <v>53328.71</v>
      </c>
    </row>
    <row r="52" spans="1:16" x14ac:dyDescent="0.25">
      <c r="A52" s="190">
        <v>801010402</v>
      </c>
      <c r="B52" s="190" t="s">
        <v>426</v>
      </c>
      <c r="C52" s="190">
        <v>1321</v>
      </c>
      <c r="D52" s="190" t="s">
        <v>408</v>
      </c>
      <c r="E52" s="191">
        <v>0</v>
      </c>
      <c r="F52" s="191">
        <v>0</v>
      </c>
      <c r="G52" s="193">
        <v>93641.64</v>
      </c>
      <c r="H52" s="191">
        <v>0</v>
      </c>
      <c r="I52" s="191">
        <v>0</v>
      </c>
      <c r="J52" s="191"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3">
        <v>144949.10999999999</v>
      </c>
    </row>
    <row r="53" spans="1:16" x14ac:dyDescent="0.25">
      <c r="A53" s="190">
        <v>801010402</v>
      </c>
      <c r="B53" s="190" t="s">
        <v>427</v>
      </c>
      <c r="C53" s="190">
        <v>1321</v>
      </c>
      <c r="D53" s="190" t="s">
        <v>408</v>
      </c>
      <c r="E53" s="191">
        <v>0</v>
      </c>
      <c r="F53" s="191">
        <v>0</v>
      </c>
      <c r="G53" s="193">
        <v>68581.97</v>
      </c>
      <c r="H53" s="191">
        <v>0</v>
      </c>
      <c r="I53" s="191">
        <v>0</v>
      </c>
      <c r="J53" s="191">
        <v>0</v>
      </c>
      <c r="K53" s="191">
        <v>0</v>
      </c>
      <c r="L53" s="191">
        <v>0</v>
      </c>
      <c r="M53" s="191">
        <v>0</v>
      </c>
      <c r="N53" s="191">
        <v>0</v>
      </c>
      <c r="O53" s="191">
        <v>0</v>
      </c>
      <c r="P53" s="193">
        <v>88128.94</v>
      </c>
    </row>
    <row r="54" spans="1:16" x14ac:dyDescent="0.25">
      <c r="A54" s="190">
        <v>801010402</v>
      </c>
      <c r="B54" s="190" t="s">
        <v>428</v>
      </c>
      <c r="C54" s="190">
        <v>1321</v>
      </c>
      <c r="D54" s="190" t="s">
        <v>408</v>
      </c>
      <c r="E54" s="191">
        <v>0</v>
      </c>
      <c r="F54" s="191">
        <v>0</v>
      </c>
      <c r="G54" s="193">
        <v>93093.86</v>
      </c>
      <c r="H54" s="191">
        <v>0</v>
      </c>
      <c r="I54" s="191">
        <v>0</v>
      </c>
      <c r="J54" s="191">
        <v>0</v>
      </c>
      <c r="K54" s="191">
        <v>0</v>
      </c>
      <c r="L54" s="191">
        <v>0</v>
      </c>
      <c r="M54" s="191">
        <v>0</v>
      </c>
      <c r="N54" s="191">
        <v>0</v>
      </c>
      <c r="O54" s="191">
        <v>0</v>
      </c>
      <c r="P54" s="193">
        <v>119707.2</v>
      </c>
    </row>
    <row r="55" spans="1:16" x14ac:dyDescent="0.25">
      <c r="A55" s="190">
        <v>801010402</v>
      </c>
      <c r="B55" s="190" t="s">
        <v>429</v>
      </c>
      <c r="C55" s="190">
        <v>1321</v>
      </c>
      <c r="D55" s="190" t="s">
        <v>408</v>
      </c>
      <c r="E55" s="191">
        <v>0</v>
      </c>
      <c r="F55" s="191">
        <v>0</v>
      </c>
      <c r="G55" s="193">
        <v>51521.760000000002</v>
      </c>
      <c r="H55" s="191">
        <v>0</v>
      </c>
      <c r="I55" s="191">
        <v>0</v>
      </c>
      <c r="J55" s="191"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3">
        <v>68356.72</v>
      </c>
    </row>
    <row r="56" spans="1:16" x14ac:dyDescent="0.25">
      <c r="A56" s="190">
        <v>801010402</v>
      </c>
      <c r="B56" s="190" t="s">
        <v>430</v>
      </c>
      <c r="C56" s="190">
        <v>1321</v>
      </c>
      <c r="D56" s="190" t="s">
        <v>408</v>
      </c>
      <c r="E56" s="191">
        <v>0</v>
      </c>
      <c r="F56" s="191">
        <v>0</v>
      </c>
      <c r="G56" s="193">
        <v>68656.460000000006</v>
      </c>
      <c r="H56" s="191">
        <v>0</v>
      </c>
      <c r="I56" s="191">
        <v>0</v>
      </c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193">
        <v>85677.02</v>
      </c>
    </row>
    <row r="57" spans="1:16" x14ac:dyDescent="0.25">
      <c r="A57" s="190">
        <v>801010402</v>
      </c>
      <c r="B57" s="190" t="s">
        <v>431</v>
      </c>
      <c r="C57" s="190">
        <v>1321</v>
      </c>
      <c r="D57" s="190" t="s">
        <v>408</v>
      </c>
      <c r="E57" s="191">
        <v>0</v>
      </c>
      <c r="F57" s="191">
        <v>0</v>
      </c>
      <c r="G57" s="193">
        <v>71660.45</v>
      </c>
      <c r="H57" s="191">
        <v>0</v>
      </c>
      <c r="I57" s="191">
        <v>0</v>
      </c>
      <c r="J57" s="191">
        <v>0</v>
      </c>
      <c r="K57" s="191">
        <v>0</v>
      </c>
      <c r="L57" s="191">
        <v>0</v>
      </c>
      <c r="M57" s="191">
        <v>0</v>
      </c>
      <c r="N57" s="191">
        <v>0</v>
      </c>
      <c r="O57" s="191">
        <v>0</v>
      </c>
      <c r="P57" s="193">
        <v>107518.86</v>
      </c>
    </row>
    <row r="58" spans="1:16" x14ac:dyDescent="0.25">
      <c r="A58" s="190">
        <v>801010402</v>
      </c>
      <c r="B58" s="190" t="s">
        <v>432</v>
      </c>
      <c r="C58" s="190">
        <v>1321</v>
      </c>
      <c r="D58" s="190" t="s">
        <v>408</v>
      </c>
      <c r="E58" s="191">
        <v>0</v>
      </c>
      <c r="F58" s="191">
        <v>0</v>
      </c>
      <c r="G58" s="193">
        <v>43774.21</v>
      </c>
      <c r="H58" s="193">
        <v>7794.08</v>
      </c>
      <c r="I58" s="191">
        <v>0</v>
      </c>
      <c r="J58" s="191">
        <v>0</v>
      </c>
      <c r="K58" s="191">
        <v>0</v>
      </c>
      <c r="L58" s="191">
        <v>0</v>
      </c>
      <c r="M58" s="191">
        <v>0</v>
      </c>
      <c r="N58" s="191">
        <v>0</v>
      </c>
      <c r="O58" s="191">
        <v>0</v>
      </c>
      <c r="P58" s="193">
        <v>149297</v>
      </c>
    </row>
    <row r="59" spans="1:16" x14ac:dyDescent="0.25">
      <c r="A59" s="190">
        <v>801010402</v>
      </c>
      <c r="B59" s="190" t="s">
        <v>433</v>
      </c>
      <c r="C59" s="190">
        <v>1321</v>
      </c>
      <c r="D59" s="190" t="s">
        <v>408</v>
      </c>
      <c r="E59" s="191">
        <v>0</v>
      </c>
      <c r="F59" s="191">
        <v>0</v>
      </c>
      <c r="G59" s="191">
        <v>0</v>
      </c>
      <c r="H59" s="193">
        <v>59744.49</v>
      </c>
      <c r="I59" s="191">
        <v>0</v>
      </c>
      <c r="J59" s="191">
        <v>0</v>
      </c>
      <c r="K59" s="191">
        <v>0</v>
      </c>
      <c r="L59" s="191">
        <v>0</v>
      </c>
      <c r="M59" s="191">
        <v>0</v>
      </c>
      <c r="N59" s="191">
        <v>0</v>
      </c>
      <c r="O59" s="191">
        <v>0</v>
      </c>
      <c r="P59" s="193">
        <v>86529.34</v>
      </c>
    </row>
    <row r="60" spans="1:16" x14ac:dyDescent="0.25">
      <c r="A60" s="190">
        <v>801010402</v>
      </c>
      <c r="B60" s="190" t="s">
        <v>434</v>
      </c>
      <c r="C60" s="190">
        <v>1321</v>
      </c>
      <c r="D60" s="190" t="s">
        <v>408</v>
      </c>
      <c r="E60" s="191">
        <v>0</v>
      </c>
      <c r="F60" s="191">
        <v>0</v>
      </c>
      <c r="G60" s="191">
        <v>0</v>
      </c>
      <c r="H60" s="193">
        <v>48271.24</v>
      </c>
      <c r="I60" s="191">
        <v>0</v>
      </c>
      <c r="J60" s="191">
        <v>0</v>
      </c>
      <c r="K60" s="191">
        <v>0</v>
      </c>
      <c r="L60" s="191">
        <v>0</v>
      </c>
      <c r="M60" s="191">
        <v>0</v>
      </c>
      <c r="N60" s="191">
        <v>0</v>
      </c>
      <c r="O60" s="191">
        <v>0</v>
      </c>
      <c r="P60" s="193">
        <v>70289.039999999994</v>
      </c>
    </row>
    <row r="61" spans="1:16" x14ac:dyDescent="0.25">
      <c r="A61" s="190">
        <v>801010402</v>
      </c>
      <c r="B61" s="190" t="s">
        <v>435</v>
      </c>
      <c r="C61" s="190">
        <v>1321</v>
      </c>
      <c r="D61" s="190" t="s">
        <v>408</v>
      </c>
      <c r="E61" s="191">
        <v>0</v>
      </c>
      <c r="F61" s="191">
        <v>0</v>
      </c>
      <c r="G61" s="191">
        <v>0</v>
      </c>
      <c r="H61" s="193">
        <v>21102.23</v>
      </c>
      <c r="I61" s="191">
        <v>0</v>
      </c>
      <c r="J61" s="191">
        <v>0</v>
      </c>
      <c r="K61" s="191">
        <v>0</v>
      </c>
      <c r="L61" s="191">
        <v>0</v>
      </c>
      <c r="M61" s="191">
        <v>0</v>
      </c>
      <c r="N61" s="191">
        <v>0</v>
      </c>
      <c r="O61" s="191">
        <v>0</v>
      </c>
      <c r="P61" s="193">
        <v>33010.42</v>
      </c>
    </row>
    <row r="62" spans="1:16" x14ac:dyDescent="0.25">
      <c r="A62" s="190">
        <v>801010402</v>
      </c>
      <c r="B62" s="190" t="s">
        <v>436</v>
      </c>
      <c r="C62" s="190">
        <v>1321</v>
      </c>
      <c r="D62" s="190" t="s">
        <v>408</v>
      </c>
      <c r="E62" s="191">
        <v>0</v>
      </c>
      <c r="F62" s="191">
        <v>0</v>
      </c>
      <c r="G62" s="191">
        <v>0</v>
      </c>
      <c r="H62" s="193">
        <v>42848.19</v>
      </c>
      <c r="I62" s="191">
        <v>0</v>
      </c>
      <c r="J62" s="191">
        <v>0</v>
      </c>
      <c r="K62" s="191">
        <v>0</v>
      </c>
      <c r="L62" s="191">
        <v>0</v>
      </c>
      <c r="M62" s="191">
        <v>0</v>
      </c>
      <c r="N62" s="191">
        <v>0</v>
      </c>
      <c r="O62" s="191">
        <v>0</v>
      </c>
      <c r="P62" s="193">
        <v>65359.64</v>
      </c>
    </row>
    <row r="63" spans="1:16" x14ac:dyDescent="0.25">
      <c r="A63" s="190">
        <v>801010402</v>
      </c>
      <c r="B63" s="190" t="s">
        <v>437</v>
      </c>
      <c r="C63" s="190">
        <v>1321</v>
      </c>
      <c r="D63" s="190" t="s">
        <v>408</v>
      </c>
      <c r="E63" s="191">
        <v>0</v>
      </c>
      <c r="F63" s="191">
        <v>0</v>
      </c>
      <c r="G63" s="193">
        <v>47418.49</v>
      </c>
      <c r="H63" s="191">
        <v>0</v>
      </c>
      <c r="I63" s="191">
        <v>0</v>
      </c>
      <c r="J63" s="191">
        <v>0</v>
      </c>
      <c r="K63" s="191">
        <v>0</v>
      </c>
      <c r="L63" s="191">
        <v>0</v>
      </c>
      <c r="M63" s="191">
        <v>0</v>
      </c>
      <c r="N63" s="191">
        <v>0</v>
      </c>
      <c r="O63" s="191">
        <v>0</v>
      </c>
      <c r="P63" s="193">
        <v>65828.67</v>
      </c>
    </row>
    <row r="64" spans="1:16" x14ac:dyDescent="0.25">
      <c r="A64" s="190">
        <v>801010402</v>
      </c>
      <c r="B64" s="190" t="s">
        <v>407</v>
      </c>
      <c r="C64" s="190">
        <v>1322</v>
      </c>
      <c r="D64" s="190" t="s">
        <v>408</v>
      </c>
      <c r="E64" s="191">
        <v>0</v>
      </c>
      <c r="F64" s="191">
        <v>0</v>
      </c>
      <c r="G64" s="193">
        <v>392829.44</v>
      </c>
      <c r="H64" s="191">
        <v>0</v>
      </c>
      <c r="I64" s="191">
        <v>0</v>
      </c>
      <c r="J64" s="191">
        <v>0</v>
      </c>
      <c r="K64" s="191">
        <v>0</v>
      </c>
      <c r="L64" s="191">
        <v>0</v>
      </c>
      <c r="M64" s="191">
        <v>0</v>
      </c>
      <c r="N64" s="191">
        <v>0</v>
      </c>
      <c r="O64" s="191">
        <v>0</v>
      </c>
      <c r="P64" s="193">
        <v>1193872.6200000001</v>
      </c>
    </row>
    <row r="65" spans="1:16" x14ac:dyDescent="0.25">
      <c r="A65" s="190">
        <v>801010402</v>
      </c>
      <c r="B65" s="190" t="s">
        <v>410</v>
      </c>
      <c r="C65" s="190">
        <v>1322</v>
      </c>
      <c r="D65" s="190" t="s">
        <v>408</v>
      </c>
      <c r="E65" s="191">
        <v>0</v>
      </c>
      <c r="F65" s="191">
        <v>0</v>
      </c>
      <c r="G65" s="193">
        <v>95663.06</v>
      </c>
      <c r="H65" s="191">
        <v>0</v>
      </c>
      <c r="I65" s="191">
        <v>0</v>
      </c>
      <c r="J65" s="191">
        <v>0</v>
      </c>
      <c r="K65" s="191">
        <v>0</v>
      </c>
      <c r="L65" s="191">
        <v>0</v>
      </c>
      <c r="M65" s="191">
        <v>0</v>
      </c>
      <c r="N65" s="191">
        <v>0</v>
      </c>
      <c r="O65" s="191">
        <v>0</v>
      </c>
      <c r="P65" s="193">
        <v>215593.58</v>
      </c>
    </row>
    <row r="66" spans="1:16" x14ac:dyDescent="0.25">
      <c r="A66" s="190">
        <v>801010402</v>
      </c>
      <c r="B66" s="190" t="s">
        <v>411</v>
      </c>
      <c r="C66" s="190">
        <v>1322</v>
      </c>
      <c r="D66" s="190" t="s">
        <v>408</v>
      </c>
      <c r="E66" s="191">
        <v>0</v>
      </c>
      <c r="F66" s="191">
        <v>0</v>
      </c>
      <c r="G66" s="193">
        <v>82041.13</v>
      </c>
      <c r="H66" s="191">
        <v>0</v>
      </c>
      <c r="I66" s="191">
        <v>0</v>
      </c>
      <c r="J66" s="191">
        <v>0</v>
      </c>
      <c r="K66" s="191">
        <v>0</v>
      </c>
      <c r="L66" s="191">
        <v>0</v>
      </c>
      <c r="M66" s="191">
        <v>0</v>
      </c>
      <c r="N66" s="191">
        <v>0</v>
      </c>
      <c r="O66" s="191">
        <v>0</v>
      </c>
      <c r="P66" s="193">
        <v>233968.56</v>
      </c>
    </row>
    <row r="67" spans="1:16" x14ac:dyDescent="0.25">
      <c r="A67" s="190">
        <v>801010402</v>
      </c>
      <c r="B67" s="190" t="s">
        <v>412</v>
      </c>
      <c r="C67" s="190">
        <v>1322</v>
      </c>
      <c r="D67" s="190" t="s">
        <v>408</v>
      </c>
      <c r="E67" s="191">
        <v>0</v>
      </c>
      <c r="F67" s="191">
        <v>0</v>
      </c>
      <c r="G67" s="193">
        <v>106455.05</v>
      </c>
      <c r="H67" s="191">
        <v>0</v>
      </c>
      <c r="I67" s="191">
        <v>0</v>
      </c>
      <c r="J67" s="191">
        <v>0</v>
      </c>
      <c r="K67" s="191">
        <v>0</v>
      </c>
      <c r="L67" s="191">
        <v>0</v>
      </c>
      <c r="M67" s="191">
        <v>0</v>
      </c>
      <c r="N67" s="191">
        <v>0</v>
      </c>
      <c r="O67" s="191">
        <v>0</v>
      </c>
      <c r="P67" s="193">
        <v>242467.14</v>
      </c>
    </row>
    <row r="68" spans="1:16" x14ac:dyDescent="0.25">
      <c r="A68" s="190">
        <v>801010402</v>
      </c>
      <c r="B68" s="190" t="s">
        <v>413</v>
      </c>
      <c r="C68" s="190">
        <v>1322</v>
      </c>
      <c r="D68" s="190" t="s">
        <v>408</v>
      </c>
      <c r="E68" s="191">
        <v>0</v>
      </c>
      <c r="F68" s="191">
        <v>0</v>
      </c>
      <c r="G68" s="193">
        <v>90196.96</v>
      </c>
      <c r="H68" s="191">
        <v>0</v>
      </c>
      <c r="I68" s="191">
        <v>0</v>
      </c>
      <c r="J68" s="191">
        <v>0</v>
      </c>
      <c r="K68" s="191">
        <v>0</v>
      </c>
      <c r="L68" s="191">
        <v>0</v>
      </c>
      <c r="M68" s="191">
        <v>0</v>
      </c>
      <c r="N68" s="191">
        <v>0</v>
      </c>
      <c r="O68" s="191">
        <v>0</v>
      </c>
      <c r="P68" s="193">
        <v>174298.17</v>
      </c>
    </row>
    <row r="69" spans="1:16" x14ac:dyDescent="0.25">
      <c r="A69" s="190">
        <v>801010402</v>
      </c>
      <c r="B69" s="190" t="s">
        <v>414</v>
      </c>
      <c r="C69" s="190">
        <v>1322</v>
      </c>
      <c r="D69" s="190" t="s">
        <v>408</v>
      </c>
      <c r="E69" s="191">
        <v>0</v>
      </c>
      <c r="F69" s="191">
        <v>0</v>
      </c>
      <c r="G69" s="193">
        <v>97500.85</v>
      </c>
      <c r="H69" s="191">
        <v>0</v>
      </c>
      <c r="I69" s="191">
        <v>0</v>
      </c>
      <c r="J69" s="191">
        <v>0</v>
      </c>
      <c r="K69" s="191">
        <v>0</v>
      </c>
      <c r="L69" s="191">
        <v>0</v>
      </c>
      <c r="M69" s="191">
        <v>0</v>
      </c>
      <c r="N69" s="191">
        <v>0</v>
      </c>
      <c r="O69" s="191">
        <v>0</v>
      </c>
      <c r="P69" s="193">
        <v>265117.59999999998</v>
      </c>
    </row>
    <row r="70" spans="1:16" x14ac:dyDescent="0.25">
      <c r="A70" s="190">
        <v>801010402</v>
      </c>
      <c r="B70" s="190" t="s">
        <v>415</v>
      </c>
      <c r="C70" s="190">
        <v>1322</v>
      </c>
      <c r="D70" s="190" t="s">
        <v>408</v>
      </c>
      <c r="E70" s="191">
        <v>0</v>
      </c>
      <c r="F70" s="191">
        <v>0</v>
      </c>
      <c r="G70" s="193">
        <v>74586.789999999994</v>
      </c>
      <c r="H70" s="191">
        <v>0</v>
      </c>
      <c r="I70" s="191">
        <v>0</v>
      </c>
      <c r="J70" s="191">
        <v>0</v>
      </c>
      <c r="K70" s="191">
        <v>0</v>
      </c>
      <c r="L70" s="191">
        <v>0</v>
      </c>
      <c r="M70" s="191">
        <v>0</v>
      </c>
      <c r="N70" s="191">
        <v>0</v>
      </c>
      <c r="O70" s="191">
        <v>0</v>
      </c>
      <c r="P70" s="193">
        <v>181654.68</v>
      </c>
    </row>
    <row r="71" spans="1:16" x14ac:dyDescent="0.25">
      <c r="A71" s="190">
        <v>801010402</v>
      </c>
      <c r="B71" s="190" t="s">
        <v>416</v>
      </c>
      <c r="C71" s="190">
        <v>1322</v>
      </c>
      <c r="D71" s="190" t="s">
        <v>408</v>
      </c>
      <c r="E71" s="191">
        <v>0</v>
      </c>
      <c r="F71" s="191">
        <v>0</v>
      </c>
      <c r="G71" s="193">
        <v>93654.15</v>
      </c>
      <c r="H71" s="191">
        <v>0</v>
      </c>
      <c r="I71" s="191">
        <v>0</v>
      </c>
      <c r="J71" s="191">
        <v>0</v>
      </c>
      <c r="K71" s="191">
        <v>0</v>
      </c>
      <c r="L71" s="191">
        <v>0</v>
      </c>
      <c r="M71" s="191">
        <v>0</v>
      </c>
      <c r="N71" s="191">
        <v>0</v>
      </c>
      <c r="O71" s="191">
        <v>0</v>
      </c>
      <c r="P71" s="193">
        <v>252666.12</v>
      </c>
    </row>
    <row r="72" spans="1:16" x14ac:dyDescent="0.25">
      <c r="A72" s="190">
        <v>801010402</v>
      </c>
      <c r="B72" s="190" t="s">
        <v>417</v>
      </c>
      <c r="C72" s="190">
        <v>1322</v>
      </c>
      <c r="D72" s="190" t="s">
        <v>408</v>
      </c>
      <c r="E72" s="191">
        <v>0</v>
      </c>
      <c r="F72" s="191">
        <v>0</v>
      </c>
      <c r="G72" s="193">
        <v>121290.97</v>
      </c>
      <c r="H72" s="191">
        <v>0</v>
      </c>
      <c r="I72" s="191">
        <v>0</v>
      </c>
      <c r="J72" s="191">
        <v>0</v>
      </c>
      <c r="K72" s="191">
        <v>0</v>
      </c>
      <c r="L72" s="191">
        <v>0</v>
      </c>
      <c r="M72" s="191">
        <v>0</v>
      </c>
      <c r="N72" s="191">
        <v>0</v>
      </c>
      <c r="O72" s="191">
        <v>0</v>
      </c>
      <c r="P72" s="193">
        <v>348545.58</v>
      </c>
    </row>
    <row r="73" spans="1:16" x14ac:dyDescent="0.25">
      <c r="A73" s="190">
        <v>801010402</v>
      </c>
      <c r="B73" s="190" t="s">
        <v>419</v>
      </c>
      <c r="C73" s="190">
        <v>1322</v>
      </c>
      <c r="D73" s="190" t="s">
        <v>408</v>
      </c>
      <c r="E73" s="191">
        <v>0</v>
      </c>
      <c r="F73" s="191">
        <v>0</v>
      </c>
      <c r="G73" s="193">
        <v>129580.89</v>
      </c>
      <c r="H73" s="191">
        <v>0</v>
      </c>
      <c r="I73" s="191">
        <v>0</v>
      </c>
      <c r="J73" s="191">
        <v>0</v>
      </c>
      <c r="K73" s="191">
        <v>0</v>
      </c>
      <c r="L73" s="191">
        <v>0</v>
      </c>
      <c r="M73" s="191">
        <v>0</v>
      </c>
      <c r="N73" s="191">
        <v>0</v>
      </c>
      <c r="O73" s="191">
        <v>0</v>
      </c>
      <c r="P73" s="193">
        <v>283411.59999999998</v>
      </c>
    </row>
    <row r="74" spans="1:16" x14ac:dyDescent="0.25">
      <c r="A74" s="190">
        <v>801010402</v>
      </c>
      <c r="B74" s="190" t="s">
        <v>420</v>
      </c>
      <c r="C74" s="190">
        <v>1322</v>
      </c>
      <c r="D74" s="190" t="s">
        <v>408</v>
      </c>
      <c r="E74" s="191">
        <v>0</v>
      </c>
      <c r="F74" s="191">
        <v>0</v>
      </c>
      <c r="G74" s="193">
        <v>154617.20000000001</v>
      </c>
      <c r="H74" s="191">
        <v>0</v>
      </c>
      <c r="I74" s="191">
        <v>0</v>
      </c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193">
        <v>372085.37</v>
      </c>
    </row>
    <row r="75" spans="1:16" x14ac:dyDescent="0.25">
      <c r="A75" s="190">
        <v>801010402</v>
      </c>
      <c r="B75" s="190" t="s">
        <v>421</v>
      </c>
      <c r="C75" s="190">
        <v>1322</v>
      </c>
      <c r="D75" s="190" t="s">
        <v>408</v>
      </c>
      <c r="E75" s="191">
        <v>0</v>
      </c>
      <c r="F75" s="191">
        <v>0</v>
      </c>
      <c r="G75" s="193">
        <v>110426.15</v>
      </c>
      <c r="H75" s="191">
        <v>0</v>
      </c>
      <c r="I75" s="191">
        <v>0</v>
      </c>
      <c r="J75" s="191">
        <v>0</v>
      </c>
      <c r="K75" s="191">
        <v>0</v>
      </c>
      <c r="L75" s="191">
        <v>0</v>
      </c>
      <c r="M75" s="191">
        <v>0</v>
      </c>
      <c r="N75" s="191">
        <v>0</v>
      </c>
      <c r="O75" s="191">
        <v>0</v>
      </c>
      <c r="P75" s="193">
        <v>272347.57</v>
      </c>
    </row>
    <row r="76" spans="1:16" x14ac:dyDescent="0.25">
      <c r="A76" s="190">
        <v>801010402</v>
      </c>
      <c r="B76" s="190" t="s">
        <v>422</v>
      </c>
      <c r="C76" s="190">
        <v>1322</v>
      </c>
      <c r="D76" s="190" t="s">
        <v>408</v>
      </c>
      <c r="E76" s="191">
        <v>0</v>
      </c>
      <c r="F76" s="191">
        <v>0</v>
      </c>
      <c r="G76" s="193">
        <v>145255</v>
      </c>
      <c r="H76" s="191">
        <v>0</v>
      </c>
      <c r="I76" s="191">
        <v>0</v>
      </c>
      <c r="J76" s="191">
        <v>0</v>
      </c>
      <c r="K76" s="191">
        <v>0</v>
      </c>
      <c r="L76" s="191">
        <v>0</v>
      </c>
      <c r="M76" s="191">
        <v>0</v>
      </c>
      <c r="N76" s="191">
        <v>0</v>
      </c>
      <c r="O76" s="191">
        <v>0</v>
      </c>
      <c r="P76" s="193">
        <v>339483.62</v>
      </c>
    </row>
    <row r="77" spans="1:16" x14ac:dyDescent="0.25">
      <c r="A77" s="190">
        <v>801010402</v>
      </c>
      <c r="B77" s="190" t="s">
        <v>423</v>
      </c>
      <c r="C77" s="190">
        <v>1322</v>
      </c>
      <c r="D77" s="190" t="s">
        <v>408</v>
      </c>
      <c r="E77" s="191">
        <v>0</v>
      </c>
      <c r="F77" s="191">
        <v>0</v>
      </c>
      <c r="G77" s="193">
        <v>87951.61</v>
      </c>
      <c r="H77" s="191">
        <v>0</v>
      </c>
      <c r="I77" s="191">
        <v>0</v>
      </c>
      <c r="J77" s="191">
        <v>0</v>
      </c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193">
        <v>239738.19</v>
      </c>
    </row>
    <row r="78" spans="1:16" x14ac:dyDescent="0.25">
      <c r="A78" s="190">
        <v>801010402</v>
      </c>
      <c r="B78" s="190" t="s">
        <v>424</v>
      </c>
      <c r="C78" s="190">
        <v>1322</v>
      </c>
      <c r="D78" s="190" t="s">
        <v>408</v>
      </c>
      <c r="E78" s="191">
        <v>0</v>
      </c>
      <c r="F78" s="191">
        <v>0</v>
      </c>
      <c r="G78" s="193">
        <v>137251.6</v>
      </c>
      <c r="H78" s="191">
        <v>0</v>
      </c>
      <c r="I78" s="191">
        <v>0</v>
      </c>
      <c r="J78" s="191">
        <v>0</v>
      </c>
      <c r="K78" s="191">
        <v>0</v>
      </c>
      <c r="L78" s="191">
        <v>0</v>
      </c>
      <c r="M78" s="191">
        <v>0</v>
      </c>
      <c r="N78" s="191">
        <v>0</v>
      </c>
      <c r="O78" s="191">
        <v>0</v>
      </c>
      <c r="P78" s="193">
        <v>386456.58</v>
      </c>
    </row>
    <row r="79" spans="1:16" x14ac:dyDescent="0.25">
      <c r="A79" s="190">
        <v>801010402</v>
      </c>
      <c r="B79" s="190" t="s">
        <v>425</v>
      </c>
      <c r="C79" s="190">
        <v>1322</v>
      </c>
      <c r="D79" s="190" t="s">
        <v>408</v>
      </c>
      <c r="E79" s="191">
        <v>0</v>
      </c>
      <c r="F79" s="191">
        <v>0</v>
      </c>
      <c r="G79" s="193">
        <v>64352.35</v>
      </c>
      <c r="H79" s="191">
        <v>0</v>
      </c>
      <c r="I79" s="191">
        <v>0</v>
      </c>
      <c r="J79" s="191">
        <v>0</v>
      </c>
      <c r="K79" s="191">
        <v>0</v>
      </c>
      <c r="L79" s="191">
        <v>0</v>
      </c>
      <c r="M79" s="191">
        <v>0</v>
      </c>
      <c r="N79" s="191">
        <v>0</v>
      </c>
      <c r="O79" s="191">
        <v>0</v>
      </c>
      <c r="P79" s="193">
        <v>157558.18</v>
      </c>
    </row>
    <row r="80" spans="1:16" x14ac:dyDescent="0.25">
      <c r="A80" s="190">
        <v>801010402</v>
      </c>
      <c r="B80" s="190" t="s">
        <v>426</v>
      </c>
      <c r="C80" s="190">
        <v>1322</v>
      </c>
      <c r="D80" s="190" t="s">
        <v>408</v>
      </c>
      <c r="E80" s="191">
        <v>0</v>
      </c>
      <c r="F80" s="191">
        <v>0</v>
      </c>
      <c r="G80" s="193">
        <v>161469.85999999999</v>
      </c>
      <c r="H80" s="191">
        <v>0</v>
      </c>
      <c r="I80" s="191">
        <v>0</v>
      </c>
      <c r="J80" s="191">
        <v>0</v>
      </c>
      <c r="K80" s="191">
        <v>0</v>
      </c>
      <c r="L80" s="191">
        <v>0</v>
      </c>
      <c r="M80" s="191">
        <v>0</v>
      </c>
      <c r="N80" s="191">
        <v>0</v>
      </c>
      <c r="O80" s="191">
        <v>0</v>
      </c>
      <c r="P80" s="193">
        <v>400315.76</v>
      </c>
    </row>
    <row r="81" spans="1:16" x14ac:dyDescent="0.25">
      <c r="A81" s="190">
        <v>801010402</v>
      </c>
      <c r="B81" s="190" t="s">
        <v>427</v>
      </c>
      <c r="C81" s="190">
        <v>1322</v>
      </c>
      <c r="D81" s="190" t="s">
        <v>408</v>
      </c>
      <c r="E81" s="191">
        <v>0</v>
      </c>
      <c r="F81" s="191">
        <v>0</v>
      </c>
      <c r="G81" s="193">
        <v>111263.7</v>
      </c>
      <c r="H81" s="191">
        <v>0</v>
      </c>
      <c r="I81" s="191">
        <v>0</v>
      </c>
      <c r="J81" s="191">
        <v>0</v>
      </c>
      <c r="K81" s="191">
        <v>0</v>
      </c>
      <c r="L81" s="191">
        <v>0</v>
      </c>
      <c r="M81" s="191">
        <v>0</v>
      </c>
      <c r="N81" s="191">
        <v>0</v>
      </c>
      <c r="O81" s="191">
        <v>0</v>
      </c>
      <c r="P81" s="193">
        <v>265524.15999999997</v>
      </c>
    </row>
    <row r="82" spans="1:16" x14ac:dyDescent="0.25">
      <c r="A82" s="190">
        <v>801010402</v>
      </c>
      <c r="B82" s="190" t="s">
        <v>428</v>
      </c>
      <c r="C82" s="190">
        <v>1322</v>
      </c>
      <c r="D82" s="190" t="s">
        <v>408</v>
      </c>
      <c r="E82" s="191">
        <v>0</v>
      </c>
      <c r="F82" s="191">
        <v>0</v>
      </c>
      <c r="G82" s="193">
        <v>152169.39000000001</v>
      </c>
      <c r="H82" s="191">
        <v>0</v>
      </c>
      <c r="I82" s="191">
        <v>0</v>
      </c>
      <c r="J82" s="191">
        <v>0</v>
      </c>
      <c r="K82" s="191">
        <v>0</v>
      </c>
      <c r="L82" s="191">
        <v>0</v>
      </c>
      <c r="M82" s="191">
        <v>0</v>
      </c>
      <c r="N82" s="191">
        <v>0</v>
      </c>
      <c r="O82" s="191">
        <v>0</v>
      </c>
      <c r="P82" s="193">
        <v>357079.54</v>
      </c>
    </row>
    <row r="83" spans="1:16" x14ac:dyDescent="0.25">
      <c r="A83" s="190">
        <v>801010402</v>
      </c>
      <c r="B83" s="190" t="s">
        <v>429</v>
      </c>
      <c r="C83" s="190">
        <v>1322</v>
      </c>
      <c r="D83" s="190" t="s">
        <v>408</v>
      </c>
      <c r="E83" s="191">
        <v>0</v>
      </c>
      <c r="F83" s="191">
        <v>0</v>
      </c>
      <c r="G83" s="193">
        <v>83094.58</v>
      </c>
      <c r="H83" s="191">
        <v>0</v>
      </c>
      <c r="I83" s="191">
        <v>0</v>
      </c>
      <c r="J83" s="191">
        <v>0</v>
      </c>
      <c r="K83" s="191">
        <v>0</v>
      </c>
      <c r="L83" s="191">
        <v>0</v>
      </c>
      <c r="M83" s="191">
        <v>0</v>
      </c>
      <c r="N83" s="191">
        <v>0</v>
      </c>
      <c r="O83" s="191">
        <v>0</v>
      </c>
      <c r="P83" s="193">
        <v>203532.21</v>
      </c>
    </row>
    <row r="84" spans="1:16" x14ac:dyDescent="0.25">
      <c r="A84" s="190">
        <v>801010402</v>
      </c>
      <c r="B84" s="190" t="s">
        <v>430</v>
      </c>
      <c r="C84" s="190">
        <v>1322</v>
      </c>
      <c r="D84" s="190" t="s">
        <v>408</v>
      </c>
      <c r="E84" s="191">
        <v>0</v>
      </c>
      <c r="F84" s="191">
        <v>0</v>
      </c>
      <c r="G84" s="193">
        <v>110799.95</v>
      </c>
      <c r="H84" s="191">
        <v>0</v>
      </c>
      <c r="I84" s="191">
        <v>0</v>
      </c>
      <c r="J84" s="191">
        <v>0</v>
      </c>
      <c r="K84" s="191">
        <v>0</v>
      </c>
      <c r="L84" s="191">
        <v>0</v>
      </c>
      <c r="M84" s="191">
        <v>0</v>
      </c>
      <c r="N84" s="191">
        <v>0</v>
      </c>
      <c r="O84" s="191">
        <v>0</v>
      </c>
      <c r="P84" s="193">
        <v>277267.77</v>
      </c>
    </row>
    <row r="85" spans="1:16" x14ac:dyDescent="0.25">
      <c r="A85" s="190">
        <v>801010402</v>
      </c>
      <c r="B85" s="190" t="s">
        <v>431</v>
      </c>
      <c r="C85" s="190">
        <v>1322</v>
      </c>
      <c r="D85" s="190" t="s">
        <v>408</v>
      </c>
      <c r="E85" s="191">
        <v>0</v>
      </c>
      <c r="F85" s="191">
        <v>0</v>
      </c>
      <c r="G85" s="193">
        <v>115185.76</v>
      </c>
      <c r="H85" s="191">
        <v>0</v>
      </c>
      <c r="I85" s="191">
        <v>0</v>
      </c>
      <c r="J85" s="191">
        <v>0</v>
      </c>
      <c r="K85" s="191">
        <v>0</v>
      </c>
      <c r="L85" s="191">
        <v>0</v>
      </c>
      <c r="M85" s="191">
        <v>0</v>
      </c>
      <c r="N85" s="191">
        <v>0</v>
      </c>
      <c r="O85" s="191">
        <v>0</v>
      </c>
      <c r="P85" s="193">
        <v>316361.89</v>
      </c>
    </row>
    <row r="86" spans="1:16" x14ac:dyDescent="0.25">
      <c r="A86" s="190">
        <v>801010402</v>
      </c>
      <c r="B86" s="190" t="s">
        <v>432</v>
      </c>
      <c r="C86" s="190">
        <v>1322</v>
      </c>
      <c r="D86" s="190" t="s">
        <v>408</v>
      </c>
      <c r="E86" s="191">
        <v>0</v>
      </c>
      <c r="F86" s="191">
        <v>0</v>
      </c>
      <c r="G86" s="191">
        <v>0</v>
      </c>
      <c r="H86" s="193">
        <v>155306.22</v>
      </c>
      <c r="I86" s="191">
        <v>0</v>
      </c>
      <c r="J86" s="191">
        <v>0</v>
      </c>
      <c r="K86" s="191">
        <v>0</v>
      </c>
      <c r="L86" s="191">
        <v>0</v>
      </c>
      <c r="M86" s="191">
        <v>0</v>
      </c>
      <c r="N86" s="191">
        <v>0</v>
      </c>
      <c r="O86" s="191">
        <v>0</v>
      </c>
      <c r="P86" s="193">
        <v>425439.94</v>
      </c>
    </row>
    <row r="87" spans="1:16" x14ac:dyDescent="0.25">
      <c r="A87" s="190">
        <v>801010402</v>
      </c>
      <c r="B87" s="190" t="s">
        <v>433</v>
      </c>
      <c r="C87" s="190">
        <v>1322</v>
      </c>
      <c r="D87" s="190" t="s">
        <v>408</v>
      </c>
      <c r="E87" s="191">
        <v>0</v>
      </c>
      <c r="F87" s="191">
        <v>0</v>
      </c>
      <c r="G87" s="191">
        <v>0</v>
      </c>
      <c r="H87" s="193">
        <v>93572.29</v>
      </c>
      <c r="I87" s="191">
        <v>0</v>
      </c>
      <c r="J87" s="191">
        <v>0</v>
      </c>
      <c r="K87" s="191">
        <v>0</v>
      </c>
      <c r="L87" s="191">
        <v>0</v>
      </c>
      <c r="M87" s="191">
        <v>0</v>
      </c>
      <c r="N87" s="191">
        <v>0</v>
      </c>
      <c r="O87" s="191">
        <v>0</v>
      </c>
      <c r="P87" s="193">
        <v>249919.51</v>
      </c>
    </row>
    <row r="88" spans="1:16" x14ac:dyDescent="0.25">
      <c r="A88" s="190">
        <v>801010402</v>
      </c>
      <c r="B88" s="190" t="s">
        <v>434</v>
      </c>
      <c r="C88" s="190">
        <v>1322</v>
      </c>
      <c r="D88" s="190" t="s">
        <v>408</v>
      </c>
      <c r="E88" s="191">
        <v>0</v>
      </c>
      <c r="F88" s="191">
        <v>0</v>
      </c>
      <c r="G88" s="191">
        <v>0</v>
      </c>
      <c r="H88" s="193">
        <v>78178.399999999994</v>
      </c>
      <c r="I88" s="191">
        <v>0</v>
      </c>
      <c r="J88" s="191">
        <v>0</v>
      </c>
      <c r="K88" s="191">
        <v>0</v>
      </c>
      <c r="L88" s="191">
        <v>0</v>
      </c>
      <c r="M88" s="191">
        <v>0</v>
      </c>
      <c r="N88" s="191">
        <v>0</v>
      </c>
      <c r="O88" s="191">
        <v>0</v>
      </c>
      <c r="P88" s="193">
        <v>207491.93</v>
      </c>
    </row>
    <row r="89" spans="1:16" x14ac:dyDescent="0.25">
      <c r="A89" s="190">
        <v>801010402</v>
      </c>
      <c r="B89" s="190" t="s">
        <v>435</v>
      </c>
      <c r="C89" s="190">
        <v>1322</v>
      </c>
      <c r="D89" s="190" t="s">
        <v>408</v>
      </c>
      <c r="E89" s="191">
        <v>0</v>
      </c>
      <c r="F89" s="191">
        <v>0</v>
      </c>
      <c r="G89" s="191">
        <v>0</v>
      </c>
      <c r="H89" s="193">
        <v>33744.9</v>
      </c>
      <c r="I89" s="191">
        <v>0</v>
      </c>
      <c r="J89" s="191">
        <v>0</v>
      </c>
      <c r="K89" s="191">
        <v>0</v>
      </c>
      <c r="L89" s="191">
        <v>0</v>
      </c>
      <c r="M89" s="191">
        <v>0</v>
      </c>
      <c r="N89" s="191">
        <v>0</v>
      </c>
      <c r="O89" s="191">
        <v>0</v>
      </c>
      <c r="P89" s="193">
        <v>100206.97</v>
      </c>
    </row>
    <row r="90" spans="1:16" x14ac:dyDescent="0.25">
      <c r="A90" s="190">
        <v>801010402</v>
      </c>
      <c r="B90" s="190" t="s">
        <v>436</v>
      </c>
      <c r="C90" s="190">
        <v>1322</v>
      </c>
      <c r="D90" s="190" t="s">
        <v>408</v>
      </c>
      <c r="E90" s="191">
        <v>0</v>
      </c>
      <c r="F90" s="191">
        <v>0</v>
      </c>
      <c r="G90" s="191">
        <v>0</v>
      </c>
      <c r="H90" s="193">
        <v>71797.38</v>
      </c>
      <c r="I90" s="191">
        <v>0</v>
      </c>
      <c r="J90" s="191">
        <v>0</v>
      </c>
      <c r="K90" s="191">
        <v>0</v>
      </c>
      <c r="L90" s="191">
        <v>0</v>
      </c>
      <c r="M90" s="191">
        <v>0</v>
      </c>
      <c r="N90" s="191">
        <v>0</v>
      </c>
      <c r="O90" s="191">
        <v>0</v>
      </c>
      <c r="P90" s="193">
        <v>184352.84</v>
      </c>
    </row>
    <row r="91" spans="1:16" x14ac:dyDescent="0.25">
      <c r="A91" s="190">
        <v>801010402</v>
      </c>
      <c r="B91" s="190" t="s">
        <v>437</v>
      </c>
      <c r="C91" s="190">
        <v>1322</v>
      </c>
      <c r="D91" s="190" t="s">
        <v>408</v>
      </c>
      <c r="E91" s="191">
        <v>0</v>
      </c>
      <c r="F91" s="191">
        <v>0</v>
      </c>
      <c r="G91" s="193">
        <v>75879.67</v>
      </c>
      <c r="H91" s="191">
        <v>0</v>
      </c>
      <c r="I91" s="191">
        <v>0</v>
      </c>
      <c r="J91" s="191">
        <v>0</v>
      </c>
      <c r="K91" s="191">
        <v>0</v>
      </c>
      <c r="L91" s="191">
        <v>0</v>
      </c>
      <c r="M91" s="191">
        <v>0</v>
      </c>
      <c r="N91" s="191">
        <v>0</v>
      </c>
      <c r="O91" s="191">
        <v>0</v>
      </c>
      <c r="P91" s="193">
        <v>225781.99</v>
      </c>
    </row>
    <row r="92" spans="1:16" x14ac:dyDescent="0.25">
      <c r="A92" s="190">
        <v>801010402</v>
      </c>
      <c r="B92" s="190" t="s">
        <v>407</v>
      </c>
      <c r="C92" s="190">
        <v>1324</v>
      </c>
      <c r="D92" s="190" t="s">
        <v>408</v>
      </c>
      <c r="E92" s="191">
        <v>0</v>
      </c>
      <c r="F92" s="191">
        <v>0</v>
      </c>
      <c r="G92" s="191">
        <v>0</v>
      </c>
      <c r="H92" s="191">
        <v>0</v>
      </c>
      <c r="I92" s="193">
        <v>16605.599999999999</v>
      </c>
      <c r="J92" s="193">
        <v>5352.82</v>
      </c>
      <c r="K92" s="193">
        <v>35631.040000000001</v>
      </c>
      <c r="L92" s="191">
        <v>0</v>
      </c>
      <c r="M92" s="191">
        <v>0</v>
      </c>
      <c r="N92" s="193">
        <v>27329.65</v>
      </c>
      <c r="O92" s="193">
        <v>4838.08</v>
      </c>
      <c r="P92" s="193">
        <v>38519.870000000003</v>
      </c>
    </row>
    <row r="93" spans="1:16" x14ac:dyDescent="0.25">
      <c r="A93" s="190">
        <v>801010402</v>
      </c>
      <c r="B93" s="190" t="s">
        <v>410</v>
      </c>
      <c r="C93" s="190">
        <v>1324</v>
      </c>
      <c r="D93" s="190" t="s">
        <v>408</v>
      </c>
      <c r="E93" s="191">
        <v>0</v>
      </c>
      <c r="F93" s="193">
        <v>5522.38</v>
      </c>
      <c r="G93" s="193">
        <v>3916.78</v>
      </c>
      <c r="H93" s="191">
        <v>0</v>
      </c>
      <c r="I93" s="191">
        <v>0</v>
      </c>
      <c r="J93" s="191">
        <v>0</v>
      </c>
      <c r="K93" s="191">
        <v>0</v>
      </c>
      <c r="L93" s="191">
        <v>0</v>
      </c>
      <c r="M93" s="193">
        <v>2204.39</v>
      </c>
      <c r="N93" s="193">
        <v>4545.45</v>
      </c>
      <c r="O93" s="191">
        <v>0</v>
      </c>
      <c r="P93" s="193">
        <v>9868.36</v>
      </c>
    </row>
    <row r="94" spans="1:16" x14ac:dyDescent="0.25">
      <c r="A94" s="190">
        <v>801010402</v>
      </c>
      <c r="B94" s="190" t="s">
        <v>411</v>
      </c>
      <c r="C94" s="190">
        <v>1324</v>
      </c>
      <c r="D94" s="190" t="s">
        <v>408</v>
      </c>
      <c r="E94" s="191">
        <v>0</v>
      </c>
      <c r="F94" s="193">
        <v>10601.63</v>
      </c>
      <c r="G94" s="191">
        <v>0</v>
      </c>
      <c r="H94" s="191">
        <v>0</v>
      </c>
      <c r="I94" s="191">
        <v>0</v>
      </c>
      <c r="J94" s="191">
        <v>0</v>
      </c>
      <c r="K94" s="191">
        <v>0</v>
      </c>
      <c r="L94" s="191">
        <v>0</v>
      </c>
      <c r="M94" s="191">
        <v>0</v>
      </c>
      <c r="N94" s="191">
        <v>0</v>
      </c>
      <c r="O94" s="191">
        <v>0</v>
      </c>
      <c r="P94" s="191">
        <v>0</v>
      </c>
    </row>
    <row r="95" spans="1:16" x14ac:dyDescent="0.25">
      <c r="A95" s="190">
        <v>801010402</v>
      </c>
      <c r="B95" s="190" t="s">
        <v>412</v>
      </c>
      <c r="C95" s="190">
        <v>1324</v>
      </c>
      <c r="D95" s="190" t="s">
        <v>408</v>
      </c>
      <c r="E95" s="191">
        <v>0</v>
      </c>
      <c r="F95" s="193">
        <v>2679.34</v>
      </c>
      <c r="G95" s="191">
        <v>0</v>
      </c>
      <c r="H95" s="191">
        <v>0</v>
      </c>
      <c r="I95" s="191">
        <v>0</v>
      </c>
      <c r="J95" s="191">
        <v>0</v>
      </c>
      <c r="K95" s="191">
        <v>0</v>
      </c>
      <c r="L95" s="191">
        <v>0</v>
      </c>
      <c r="M95" s="191">
        <v>0</v>
      </c>
      <c r="N95" s="191">
        <v>0</v>
      </c>
      <c r="O95" s="191">
        <v>0</v>
      </c>
      <c r="P95" s="193">
        <v>9448.25</v>
      </c>
    </row>
    <row r="96" spans="1:16" x14ac:dyDescent="0.25">
      <c r="A96" s="190">
        <v>801010402</v>
      </c>
      <c r="B96" s="190" t="s">
        <v>413</v>
      </c>
      <c r="C96" s="190">
        <v>1324</v>
      </c>
      <c r="D96" s="190" t="s">
        <v>408</v>
      </c>
      <c r="E96" s="191">
        <v>0</v>
      </c>
      <c r="F96" s="191">
        <v>0</v>
      </c>
      <c r="G96" s="191">
        <v>0</v>
      </c>
      <c r="H96" s="191">
        <v>0</v>
      </c>
      <c r="I96" s="191">
        <v>0</v>
      </c>
      <c r="J96" s="191">
        <v>0</v>
      </c>
      <c r="K96" s="193">
        <v>3908.31</v>
      </c>
      <c r="L96" s="191">
        <v>0</v>
      </c>
      <c r="M96" s="193">
        <v>12969.03</v>
      </c>
      <c r="N96" s="193">
        <v>10437.11</v>
      </c>
      <c r="O96" s="191">
        <v>0</v>
      </c>
      <c r="P96" s="193">
        <v>10854.33</v>
      </c>
    </row>
    <row r="97" spans="1:16" x14ac:dyDescent="0.25">
      <c r="A97" s="190">
        <v>801010402</v>
      </c>
      <c r="B97" s="190" t="s">
        <v>414</v>
      </c>
      <c r="C97" s="190">
        <v>1324</v>
      </c>
      <c r="D97" s="190" t="s">
        <v>408</v>
      </c>
      <c r="E97" s="191">
        <v>0</v>
      </c>
      <c r="F97" s="191">
        <v>0</v>
      </c>
      <c r="G97" s="191">
        <v>0</v>
      </c>
      <c r="H97" s="191">
        <v>0</v>
      </c>
      <c r="I97" s="191">
        <v>0</v>
      </c>
      <c r="J97" s="191">
        <v>432.05</v>
      </c>
      <c r="K97" s="191">
        <v>432.05</v>
      </c>
      <c r="L97" s="191">
        <v>0</v>
      </c>
      <c r="M97" s="193">
        <v>3150.53</v>
      </c>
      <c r="N97" s="191">
        <v>0</v>
      </c>
      <c r="O97" s="191">
        <v>0</v>
      </c>
      <c r="P97" s="193">
        <v>3043.43</v>
      </c>
    </row>
    <row r="98" spans="1:16" x14ac:dyDescent="0.25">
      <c r="A98" s="190">
        <v>801010402</v>
      </c>
      <c r="B98" s="190" t="s">
        <v>415</v>
      </c>
      <c r="C98" s="190">
        <v>1324</v>
      </c>
      <c r="D98" s="190" t="s">
        <v>408</v>
      </c>
      <c r="E98" s="191">
        <v>0</v>
      </c>
      <c r="F98" s="191">
        <v>0</v>
      </c>
      <c r="G98" s="191">
        <v>0</v>
      </c>
      <c r="H98" s="191">
        <v>0</v>
      </c>
      <c r="I98" s="191">
        <v>588.72</v>
      </c>
      <c r="J98" s="191">
        <v>0</v>
      </c>
      <c r="K98" s="191">
        <v>0</v>
      </c>
      <c r="L98" s="193">
        <v>18871.96</v>
      </c>
      <c r="M98" s="191">
        <v>0</v>
      </c>
      <c r="N98" s="191">
        <v>0</v>
      </c>
      <c r="O98" s="193">
        <v>7694.07</v>
      </c>
      <c r="P98" s="193">
        <v>8178.88</v>
      </c>
    </row>
    <row r="99" spans="1:16" x14ac:dyDescent="0.25">
      <c r="A99" s="190">
        <v>801010402</v>
      </c>
      <c r="B99" s="190" t="s">
        <v>416</v>
      </c>
      <c r="C99" s="190">
        <v>1324</v>
      </c>
      <c r="D99" s="190" t="s">
        <v>408</v>
      </c>
      <c r="E99" s="191">
        <v>0</v>
      </c>
      <c r="F99" s="191">
        <v>0</v>
      </c>
      <c r="G99" s="193">
        <v>8420.0400000000009</v>
      </c>
      <c r="H99" s="191">
        <v>0</v>
      </c>
      <c r="I99" s="191">
        <v>0</v>
      </c>
      <c r="J99" s="193">
        <v>2731.33</v>
      </c>
      <c r="K99" s="193">
        <v>4464.83</v>
      </c>
      <c r="L99" s="191">
        <v>0</v>
      </c>
      <c r="M99" s="191">
        <v>0</v>
      </c>
      <c r="N99" s="191">
        <v>329.61</v>
      </c>
      <c r="O99" s="193">
        <v>2920.9</v>
      </c>
      <c r="P99" s="191">
        <v>0</v>
      </c>
    </row>
    <row r="100" spans="1:16" x14ac:dyDescent="0.25">
      <c r="A100" s="190">
        <v>801010402</v>
      </c>
      <c r="B100" s="190" t="s">
        <v>417</v>
      </c>
      <c r="C100" s="190">
        <v>1324</v>
      </c>
      <c r="D100" s="190" t="s">
        <v>408</v>
      </c>
      <c r="E100" s="191">
        <v>0</v>
      </c>
      <c r="F100" s="191">
        <v>0</v>
      </c>
      <c r="G100" s="191">
        <v>0</v>
      </c>
      <c r="H100" s="191">
        <v>0</v>
      </c>
      <c r="I100" s="191">
        <v>0</v>
      </c>
      <c r="J100" s="191">
        <v>0</v>
      </c>
      <c r="K100" s="191">
        <v>0</v>
      </c>
      <c r="L100" s="191">
        <v>0</v>
      </c>
      <c r="M100" s="191">
        <v>0</v>
      </c>
      <c r="N100" s="193">
        <v>7176.67</v>
      </c>
      <c r="O100" s="191">
        <v>0</v>
      </c>
      <c r="P100" s="191">
        <v>0</v>
      </c>
    </row>
    <row r="101" spans="1:16" x14ac:dyDescent="0.25">
      <c r="A101" s="190">
        <v>801010402</v>
      </c>
      <c r="B101" s="190" t="s">
        <v>419</v>
      </c>
      <c r="C101" s="190">
        <v>1324</v>
      </c>
      <c r="D101" s="190" t="s">
        <v>408</v>
      </c>
      <c r="E101" s="191">
        <v>0</v>
      </c>
      <c r="F101" s="191">
        <v>0</v>
      </c>
      <c r="G101" s="191">
        <v>0</v>
      </c>
      <c r="H101" s="191">
        <v>0</v>
      </c>
      <c r="I101" s="191">
        <v>0</v>
      </c>
      <c r="J101" s="191">
        <v>0</v>
      </c>
      <c r="K101" s="193">
        <v>3174.31</v>
      </c>
      <c r="L101" s="191">
        <v>0</v>
      </c>
      <c r="M101" s="191">
        <v>0</v>
      </c>
      <c r="N101" s="191">
        <v>0</v>
      </c>
      <c r="O101" s="191">
        <v>0</v>
      </c>
      <c r="P101" s="191">
        <v>0</v>
      </c>
    </row>
    <row r="102" spans="1:16" x14ac:dyDescent="0.25">
      <c r="A102" s="190">
        <v>801010402</v>
      </c>
      <c r="B102" s="190" t="s">
        <v>420</v>
      </c>
      <c r="C102" s="190">
        <v>1324</v>
      </c>
      <c r="D102" s="190" t="s">
        <v>408</v>
      </c>
      <c r="E102" s="191">
        <v>0</v>
      </c>
      <c r="F102" s="191">
        <v>0</v>
      </c>
      <c r="G102" s="193">
        <v>7816.11</v>
      </c>
      <c r="H102" s="191">
        <v>0</v>
      </c>
      <c r="I102" s="191">
        <v>0</v>
      </c>
      <c r="J102" s="193">
        <v>11430.2</v>
      </c>
      <c r="K102" s="193">
        <v>12344.1</v>
      </c>
      <c r="L102" s="191">
        <v>0</v>
      </c>
      <c r="M102" s="193">
        <v>22600.89</v>
      </c>
      <c r="N102" s="191">
        <v>0</v>
      </c>
      <c r="O102" s="191">
        <v>0</v>
      </c>
      <c r="P102" s="193">
        <v>10029.620000000001</v>
      </c>
    </row>
    <row r="103" spans="1:16" x14ac:dyDescent="0.25">
      <c r="A103" s="190">
        <v>801010402</v>
      </c>
      <c r="B103" s="190" t="s">
        <v>421</v>
      </c>
      <c r="C103" s="190">
        <v>1324</v>
      </c>
      <c r="D103" s="190" t="s">
        <v>408</v>
      </c>
      <c r="E103" s="191">
        <v>0</v>
      </c>
      <c r="F103" s="193">
        <v>9315.14</v>
      </c>
      <c r="G103" s="191">
        <v>0</v>
      </c>
      <c r="H103" s="191">
        <v>0</v>
      </c>
      <c r="I103" s="191">
        <v>0</v>
      </c>
      <c r="J103" s="191">
        <v>0</v>
      </c>
      <c r="K103" s="191">
        <v>0</v>
      </c>
      <c r="L103" s="191">
        <v>0</v>
      </c>
      <c r="M103" s="191">
        <v>0</v>
      </c>
      <c r="N103" s="191">
        <v>0</v>
      </c>
      <c r="O103" s="191">
        <v>0</v>
      </c>
      <c r="P103" s="193">
        <v>2505.41</v>
      </c>
    </row>
    <row r="104" spans="1:16" x14ac:dyDescent="0.25">
      <c r="A104" s="190">
        <v>801010402</v>
      </c>
      <c r="B104" s="190" t="s">
        <v>422</v>
      </c>
      <c r="C104" s="190">
        <v>1324</v>
      </c>
      <c r="D104" s="190" t="s">
        <v>408</v>
      </c>
      <c r="E104" s="191">
        <v>0</v>
      </c>
      <c r="F104" s="191">
        <v>0</v>
      </c>
      <c r="G104" s="191">
        <v>0</v>
      </c>
      <c r="H104" s="191">
        <v>0</v>
      </c>
      <c r="I104" s="191">
        <v>0</v>
      </c>
      <c r="J104" s="193">
        <v>5794.8</v>
      </c>
      <c r="K104" s="193">
        <v>6255.28</v>
      </c>
      <c r="L104" s="191">
        <v>0</v>
      </c>
      <c r="M104" s="191">
        <v>0</v>
      </c>
      <c r="N104" s="191">
        <v>0</v>
      </c>
      <c r="O104" s="193">
        <v>10154.23</v>
      </c>
      <c r="P104" s="193">
        <v>2753.06</v>
      </c>
    </row>
    <row r="105" spans="1:16" x14ac:dyDescent="0.25">
      <c r="A105" s="190">
        <v>801010402</v>
      </c>
      <c r="B105" s="190" t="s">
        <v>423</v>
      </c>
      <c r="C105" s="190">
        <v>1324</v>
      </c>
      <c r="D105" s="190" t="s">
        <v>408</v>
      </c>
      <c r="E105" s="191">
        <v>0</v>
      </c>
      <c r="F105" s="193">
        <v>6236.37</v>
      </c>
      <c r="G105" s="191">
        <v>0</v>
      </c>
      <c r="H105" s="191">
        <v>0</v>
      </c>
      <c r="I105" s="191">
        <v>0</v>
      </c>
      <c r="J105" s="191">
        <v>0</v>
      </c>
      <c r="K105" s="191">
        <v>0</v>
      </c>
      <c r="L105" s="191">
        <v>0</v>
      </c>
      <c r="M105" s="191">
        <v>0</v>
      </c>
      <c r="N105" s="191">
        <v>0</v>
      </c>
      <c r="O105" s="191">
        <v>0</v>
      </c>
      <c r="P105" s="191">
        <v>0</v>
      </c>
    </row>
    <row r="106" spans="1:16" x14ac:dyDescent="0.25">
      <c r="A106" s="190">
        <v>801010402</v>
      </c>
      <c r="B106" s="190" t="s">
        <v>424</v>
      </c>
      <c r="C106" s="190">
        <v>1324</v>
      </c>
      <c r="D106" s="190" t="s">
        <v>408</v>
      </c>
      <c r="E106" s="191">
        <v>0</v>
      </c>
      <c r="F106" s="193">
        <v>2880.55</v>
      </c>
      <c r="G106" s="191">
        <v>0</v>
      </c>
      <c r="H106" s="191">
        <v>0</v>
      </c>
      <c r="I106" s="191">
        <v>0</v>
      </c>
      <c r="J106" s="191">
        <v>0</v>
      </c>
      <c r="K106" s="191">
        <v>0</v>
      </c>
      <c r="L106" s="191">
        <v>0</v>
      </c>
      <c r="M106" s="193">
        <v>11928.02</v>
      </c>
      <c r="N106" s="193">
        <v>6693.87</v>
      </c>
      <c r="O106" s="193">
        <v>10487.84</v>
      </c>
      <c r="P106" s="191">
        <v>0</v>
      </c>
    </row>
    <row r="107" spans="1:16" x14ac:dyDescent="0.25">
      <c r="A107" s="190">
        <v>801010402</v>
      </c>
      <c r="B107" s="190" t="s">
        <v>425</v>
      </c>
      <c r="C107" s="190">
        <v>1324</v>
      </c>
      <c r="D107" s="190" t="s">
        <v>408</v>
      </c>
      <c r="E107" s="191">
        <v>0</v>
      </c>
      <c r="F107" s="193">
        <v>10923.88</v>
      </c>
      <c r="G107" s="191">
        <v>0</v>
      </c>
      <c r="H107" s="191">
        <v>0</v>
      </c>
      <c r="I107" s="191">
        <v>0</v>
      </c>
      <c r="J107" s="193">
        <v>2578.61</v>
      </c>
      <c r="K107" s="193">
        <v>2578.61</v>
      </c>
      <c r="L107" s="193">
        <v>1695.91</v>
      </c>
      <c r="M107" s="191">
        <v>0</v>
      </c>
      <c r="N107" s="191">
        <v>0</v>
      </c>
      <c r="O107" s="191">
        <v>0</v>
      </c>
      <c r="P107" s="191">
        <v>0</v>
      </c>
    </row>
    <row r="108" spans="1:16" x14ac:dyDescent="0.25">
      <c r="A108" s="190">
        <v>801010402</v>
      </c>
      <c r="B108" s="190" t="s">
        <v>426</v>
      </c>
      <c r="C108" s="190">
        <v>1324</v>
      </c>
      <c r="D108" s="190" t="s">
        <v>408</v>
      </c>
      <c r="E108" s="191">
        <v>0</v>
      </c>
      <c r="F108" s="191">
        <v>0</v>
      </c>
      <c r="G108" s="191">
        <v>0</v>
      </c>
      <c r="H108" s="191">
        <v>0</v>
      </c>
      <c r="I108" s="191">
        <v>0</v>
      </c>
      <c r="J108" s="193">
        <v>13414.2</v>
      </c>
      <c r="K108" s="193">
        <v>16735.259999999998</v>
      </c>
      <c r="L108" s="191">
        <v>0</v>
      </c>
      <c r="M108" s="193">
        <v>6565.98</v>
      </c>
      <c r="N108" s="191">
        <v>0</v>
      </c>
      <c r="O108" s="191">
        <v>0</v>
      </c>
      <c r="P108" s="193">
        <v>15173.04</v>
      </c>
    </row>
    <row r="109" spans="1:16" x14ac:dyDescent="0.25">
      <c r="A109" s="190">
        <v>801010402</v>
      </c>
      <c r="B109" s="190" t="s">
        <v>428</v>
      </c>
      <c r="C109" s="190">
        <v>1324</v>
      </c>
      <c r="D109" s="190" t="s">
        <v>408</v>
      </c>
      <c r="E109" s="191">
        <v>0</v>
      </c>
      <c r="F109" s="191">
        <v>0</v>
      </c>
      <c r="G109" s="191">
        <v>0</v>
      </c>
      <c r="H109" s="191">
        <v>0</v>
      </c>
      <c r="I109" s="191">
        <v>0</v>
      </c>
      <c r="J109" s="191">
        <v>0</v>
      </c>
      <c r="K109" s="191">
        <v>0</v>
      </c>
      <c r="L109" s="191">
        <v>0</v>
      </c>
      <c r="M109" s="191">
        <v>0</v>
      </c>
      <c r="N109" s="191">
        <v>0</v>
      </c>
      <c r="O109" s="193">
        <v>5773.09</v>
      </c>
      <c r="P109" s="191">
        <v>0</v>
      </c>
    </row>
    <row r="110" spans="1:16" x14ac:dyDescent="0.25">
      <c r="A110" s="190">
        <v>801010402</v>
      </c>
      <c r="B110" s="190" t="s">
        <v>430</v>
      </c>
      <c r="C110" s="190">
        <v>1324</v>
      </c>
      <c r="D110" s="190" t="s">
        <v>408</v>
      </c>
      <c r="E110" s="191">
        <v>0</v>
      </c>
      <c r="F110" s="193">
        <v>11035.97</v>
      </c>
      <c r="G110" s="193">
        <v>3886.45</v>
      </c>
      <c r="H110" s="191">
        <v>0</v>
      </c>
      <c r="I110" s="193">
        <v>2350.0100000000002</v>
      </c>
      <c r="J110" s="193">
        <v>3403.17</v>
      </c>
      <c r="K110" s="193">
        <v>3403.17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</row>
    <row r="111" spans="1:16" x14ac:dyDescent="0.25">
      <c r="A111" s="190">
        <v>801010402</v>
      </c>
      <c r="B111" s="190" t="s">
        <v>431</v>
      </c>
      <c r="C111" s="190">
        <v>1324</v>
      </c>
      <c r="D111" s="190" t="s">
        <v>408</v>
      </c>
      <c r="E111" s="191">
        <v>0</v>
      </c>
      <c r="F111" s="191">
        <v>0</v>
      </c>
      <c r="G111" s="193">
        <v>7734.82</v>
      </c>
      <c r="H111" s="191">
        <v>0</v>
      </c>
      <c r="I111" s="193">
        <v>18828.080000000002</v>
      </c>
      <c r="J111" s="191"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1">
        <v>0</v>
      </c>
    </row>
    <row r="112" spans="1:16" x14ac:dyDescent="0.25">
      <c r="A112" s="190">
        <v>801010402</v>
      </c>
      <c r="B112" s="190" t="s">
        <v>432</v>
      </c>
      <c r="C112" s="190">
        <v>1324</v>
      </c>
      <c r="D112" s="190" t="s">
        <v>408</v>
      </c>
      <c r="E112" s="191">
        <v>0</v>
      </c>
      <c r="F112" s="191">
        <v>0</v>
      </c>
      <c r="G112" s="191">
        <v>0</v>
      </c>
      <c r="H112" s="191">
        <v>0</v>
      </c>
      <c r="I112" s="191">
        <v>0</v>
      </c>
      <c r="J112" s="191">
        <v>700.66</v>
      </c>
      <c r="K112" s="191">
        <v>700.66</v>
      </c>
      <c r="L112" s="191">
        <v>0</v>
      </c>
      <c r="M112" s="193">
        <v>3002.8</v>
      </c>
      <c r="N112" s="191">
        <v>0</v>
      </c>
      <c r="O112" s="191">
        <v>0</v>
      </c>
      <c r="P112" s="193">
        <v>3125.51</v>
      </c>
    </row>
    <row r="113" spans="1:16" x14ac:dyDescent="0.25">
      <c r="A113" s="190">
        <v>801010402</v>
      </c>
      <c r="B113" s="190" t="s">
        <v>433</v>
      </c>
      <c r="C113" s="190">
        <v>1324</v>
      </c>
      <c r="D113" s="190" t="s">
        <v>408</v>
      </c>
      <c r="E113" s="191">
        <v>0</v>
      </c>
      <c r="F113" s="191">
        <v>0</v>
      </c>
      <c r="G113" s="191">
        <v>0</v>
      </c>
      <c r="H113" s="191">
        <v>0</v>
      </c>
      <c r="I113" s="193">
        <v>5152.3999999999996</v>
      </c>
      <c r="J113" s="191">
        <v>0</v>
      </c>
      <c r="K113" s="191">
        <v>0</v>
      </c>
      <c r="L113" s="193">
        <v>7472.47</v>
      </c>
      <c r="M113" s="193">
        <v>7472.47</v>
      </c>
      <c r="N113" s="193">
        <v>10484.33</v>
      </c>
      <c r="O113" s="191">
        <v>0</v>
      </c>
      <c r="P113" s="191">
        <v>0</v>
      </c>
    </row>
    <row r="114" spans="1:16" x14ac:dyDescent="0.25">
      <c r="A114" s="190">
        <v>801010402</v>
      </c>
      <c r="B114" s="190" t="s">
        <v>436</v>
      </c>
      <c r="C114" s="190">
        <v>1324</v>
      </c>
      <c r="D114" s="190" t="s">
        <v>408</v>
      </c>
      <c r="E114" s="191">
        <v>0</v>
      </c>
      <c r="F114" s="191">
        <v>0</v>
      </c>
      <c r="G114" s="191">
        <v>0</v>
      </c>
      <c r="H114" s="191">
        <v>0</v>
      </c>
      <c r="I114" s="191">
        <v>471</v>
      </c>
      <c r="J114" s="193">
        <v>2865.77</v>
      </c>
      <c r="K114" s="193">
        <v>2865.77</v>
      </c>
      <c r="L114" s="191">
        <v>0</v>
      </c>
      <c r="M114" s="191">
        <v>0</v>
      </c>
      <c r="N114" s="191">
        <v>0</v>
      </c>
      <c r="O114" s="191">
        <v>0</v>
      </c>
      <c r="P114" s="193">
        <v>7682.68</v>
      </c>
    </row>
    <row r="115" spans="1:16" x14ac:dyDescent="0.25">
      <c r="A115" s="190">
        <v>801010402</v>
      </c>
      <c r="B115" s="190" t="s">
        <v>437</v>
      </c>
      <c r="C115" s="190">
        <v>1324</v>
      </c>
      <c r="D115" s="190" t="s">
        <v>408</v>
      </c>
      <c r="E115" s="191">
        <v>0</v>
      </c>
      <c r="F115" s="191">
        <v>0</v>
      </c>
      <c r="G115" s="191">
        <v>0</v>
      </c>
      <c r="H115" s="191">
        <v>0</v>
      </c>
      <c r="I115" s="191">
        <v>0</v>
      </c>
      <c r="J115" s="191">
        <v>0</v>
      </c>
      <c r="K115" s="191">
        <v>0</v>
      </c>
      <c r="L115" s="191">
        <v>0</v>
      </c>
      <c r="M115" s="193">
        <v>1957.04</v>
      </c>
      <c r="N115" s="191">
        <v>0</v>
      </c>
      <c r="O115" s="191">
        <v>0</v>
      </c>
      <c r="P115" s="191">
        <v>0</v>
      </c>
    </row>
    <row r="116" spans="1:16" x14ac:dyDescent="0.25">
      <c r="A116" s="190">
        <v>801010402</v>
      </c>
      <c r="B116" s="190" t="s">
        <v>407</v>
      </c>
      <c r="C116" s="190">
        <v>1345</v>
      </c>
      <c r="D116" s="190" t="s">
        <v>408</v>
      </c>
      <c r="E116" s="193">
        <v>24266.22</v>
      </c>
      <c r="F116" s="193">
        <v>50044.9</v>
      </c>
      <c r="G116" s="193">
        <v>50044.9</v>
      </c>
      <c r="H116" s="193">
        <v>50044.9</v>
      </c>
      <c r="I116" s="193">
        <v>50044.9</v>
      </c>
      <c r="J116" s="193">
        <v>50044.9</v>
      </c>
      <c r="K116" s="193">
        <v>50044.9</v>
      </c>
      <c r="L116" s="193">
        <v>50045.9</v>
      </c>
      <c r="M116" s="193">
        <v>50044.9</v>
      </c>
      <c r="N116" s="193">
        <v>50044.9</v>
      </c>
      <c r="O116" s="193">
        <v>50044.9</v>
      </c>
      <c r="P116" s="193">
        <v>50044.9</v>
      </c>
    </row>
    <row r="117" spans="1:16" x14ac:dyDescent="0.25">
      <c r="A117" s="190">
        <v>801010402</v>
      </c>
      <c r="B117" s="190" t="s">
        <v>407</v>
      </c>
      <c r="C117" s="190">
        <v>1346</v>
      </c>
      <c r="D117" s="190" t="s">
        <v>408</v>
      </c>
      <c r="E117" s="193">
        <v>4447.8</v>
      </c>
      <c r="F117" s="193">
        <v>4943.3999999999996</v>
      </c>
      <c r="G117" s="193">
        <v>6157.2</v>
      </c>
      <c r="H117" s="193">
        <v>5997.6</v>
      </c>
      <c r="I117" s="193">
        <v>6669.6</v>
      </c>
      <c r="J117" s="193">
        <v>7413</v>
      </c>
      <c r="K117" s="193">
        <v>5468.4</v>
      </c>
      <c r="L117" s="193">
        <v>5833.8</v>
      </c>
      <c r="M117" s="193">
        <v>9324</v>
      </c>
      <c r="N117" s="193">
        <v>9441.6</v>
      </c>
      <c r="O117" s="193">
        <v>9546.6</v>
      </c>
      <c r="P117" s="193">
        <v>9693.6</v>
      </c>
    </row>
    <row r="118" spans="1:16" x14ac:dyDescent="0.25">
      <c r="A118" s="190">
        <v>801010402</v>
      </c>
      <c r="B118" s="190" t="s">
        <v>410</v>
      </c>
      <c r="C118" s="190">
        <v>1346</v>
      </c>
      <c r="D118" s="190" t="s">
        <v>408</v>
      </c>
      <c r="E118" s="193">
        <v>3376.8</v>
      </c>
      <c r="F118" s="193">
        <v>2188.1999999999998</v>
      </c>
      <c r="G118" s="193">
        <v>3032.4</v>
      </c>
      <c r="H118" s="193">
        <v>3032.4</v>
      </c>
      <c r="I118" s="193">
        <v>2965.2</v>
      </c>
      <c r="J118" s="193">
        <v>2965.2</v>
      </c>
      <c r="K118" s="193">
        <v>2965.2</v>
      </c>
      <c r="L118" s="193">
        <v>1996</v>
      </c>
      <c r="M118" s="193">
        <v>3843</v>
      </c>
      <c r="N118" s="193">
        <v>4011</v>
      </c>
      <c r="O118" s="193">
        <v>4074</v>
      </c>
      <c r="P118" s="193">
        <v>4074</v>
      </c>
    </row>
    <row r="119" spans="1:16" x14ac:dyDescent="0.25">
      <c r="A119" s="190">
        <v>801010402</v>
      </c>
      <c r="B119" s="190" t="s">
        <v>411</v>
      </c>
      <c r="C119" s="190">
        <v>1346</v>
      </c>
      <c r="D119" s="190" t="s">
        <v>408</v>
      </c>
      <c r="E119" s="193">
        <v>2805.6</v>
      </c>
      <c r="F119" s="193">
        <v>2755.2</v>
      </c>
      <c r="G119" s="193">
        <v>2553.6</v>
      </c>
      <c r="H119" s="193">
        <v>2704.8</v>
      </c>
      <c r="I119" s="193">
        <v>2620.8000000000002</v>
      </c>
      <c r="J119" s="193">
        <v>2662.8</v>
      </c>
      <c r="K119" s="193">
        <v>2704.8</v>
      </c>
      <c r="L119" s="193">
        <v>2987.2</v>
      </c>
      <c r="M119" s="193">
        <v>3830.4</v>
      </c>
      <c r="N119" s="193">
        <v>3931.2</v>
      </c>
      <c r="O119" s="193">
        <v>3931.2</v>
      </c>
      <c r="P119" s="193">
        <v>3931.2</v>
      </c>
    </row>
    <row r="120" spans="1:16" x14ac:dyDescent="0.25">
      <c r="A120" s="190">
        <v>801010402</v>
      </c>
      <c r="B120" s="190" t="s">
        <v>412</v>
      </c>
      <c r="C120" s="190">
        <v>1346</v>
      </c>
      <c r="D120" s="190" t="s">
        <v>408</v>
      </c>
      <c r="E120" s="193">
        <v>3964.8</v>
      </c>
      <c r="F120" s="193">
        <v>3561.6</v>
      </c>
      <c r="G120" s="193">
        <v>3834.6</v>
      </c>
      <c r="H120" s="193">
        <v>3704.4</v>
      </c>
      <c r="I120" s="193">
        <v>3549</v>
      </c>
      <c r="J120" s="193">
        <v>3578.4</v>
      </c>
      <c r="K120" s="193">
        <v>1801.8</v>
      </c>
      <c r="L120" s="193">
        <v>1970.8</v>
      </c>
      <c r="M120" s="193">
        <v>4456.2</v>
      </c>
      <c r="N120" s="193">
        <v>4485.6000000000004</v>
      </c>
      <c r="O120" s="193">
        <v>4494</v>
      </c>
      <c r="P120" s="193">
        <v>4494</v>
      </c>
    </row>
    <row r="121" spans="1:16" x14ac:dyDescent="0.25">
      <c r="A121" s="190">
        <v>801010402</v>
      </c>
      <c r="B121" s="190" t="s">
        <v>413</v>
      </c>
      <c r="C121" s="190">
        <v>1346</v>
      </c>
      <c r="D121" s="190" t="s">
        <v>408</v>
      </c>
      <c r="E121" s="193">
        <v>3288.6</v>
      </c>
      <c r="F121" s="193">
        <v>2809.8</v>
      </c>
      <c r="G121" s="193">
        <v>2990.4</v>
      </c>
      <c r="H121" s="193">
        <v>2990.4</v>
      </c>
      <c r="I121" s="193">
        <v>2990.4</v>
      </c>
      <c r="J121" s="193">
        <v>2990.4</v>
      </c>
      <c r="K121" s="193">
        <v>2610.4</v>
      </c>
      <c r="L121" s="193">
        <v>2276.4</v>
      </c>
      <c r="M121" s="193">
        <v>2973.6</v>
      </c>
      <c r="N121" s="193">
        <v>3221.4</v>
      </c>
      <c r="O121" s="193">
        <v>3162.6</v>
      </c>
      <c r="P121" s="193">
        <v>3091.2</v>
      </c>
    </row>
    <row r="122" spans="1:16" x14ac:dyDescent="0.25">
      <c r="A122" s="190">
        <v>801010402</v>
      </c>
      <c r="B122" s="190" t="s">
        <v>414</v>
      </c>
      <c r="C122" s="190">
        <v>1346</v>
      </c>
      <c r="D122" s="190" t="s">
        <v>408</v>
      </c>
      <c r="E122" s="193">
        <v>3738</v>
      </c>
      <c r="F122" s="193">
        <v>3276</v>
      </c>
      <c r="G122" s="193">
        <v>3696</v>
      </c>
      <c r="H122" s="193">
        <v>3696</v>
      </c>
      <c r="I122" s="193">
        <v>3654</v>
      </c>
      <c r="J122" s="193">
        <v>3654</v>
      </c>
      <c r="K122" s="193">
        <v>3654</v>
      </c>
      <c r="L122" s="193">
        <v>3869.2</v>
      </c>
      <c r="M122" s="193">
        <v>4947.6000000000004</v>
      </c>
      <c r="N122" s="193">
        <v>5006.3999999999996</v>
      </c>
      <c r="O122" s="193">
        <v>5031.6000000000004</v>
      </c>
      <c r="P122" s="193">
        <v>5031.6000000000004</v>
      </c>
    </row>
    <row r="123" spans="1:16" x14ac:dyDescent="0.25">
      <c r="A123" s="190">
        <v>801010402</v>
      </c>
      <c r="B123" s="190" t="s">
        <v>415</v>
      </c>
      <c r="C123" s="190">
        <v>1346</v>
      </c>
      <c r="D123" s="190" t="s">
        <v>408</v>
      </c>
      <c r="E123" s="193">
        <v>2595.6</v>
      </c>
      <c r="F123" s="193">
        <v>2410.8000000000002</v>
      </c>
      <c r="G123" s="193">
        <v>2310</v>
      </c>
      <c r="H123" s="193">
        <v>2394</v>
      </c>
      <c r="I123" s="193">
        <v>2381.4</v>
      </c>
      <c r="J123" s="193">
        <v>2238.6</v>
      </c>
      <c r="K123" s="193">
        <v>2226</v>
      </c>
      <c r="L123" s="193">
        <v>2641.8</v>
      </c>
      <c r="M123" s="193">
        <v>3561.6</v>
      </c>
      <c r="N123" s="193">
        <v>3540.6</v>
      </c>
      <c r="O123" s="193">
        <v>3645.6</v>
      </c>
      <c r="P123" s="193">
        <v>3645.6</v>
      </c>
    </row>
    <row r="124" spans="1:16" x14ac:dyDescent="0.25">
      <c r="A124" s="190">
        <v>801010402</v>
      </c>
      <c r="B124" s="190" t="s">
        <v>416</v>
      </c>
      <c r="C124" s="190">
        <v>1346</v>
      </c>
      <c r="D124" s="190" t="s">
        <v>408</v>
      </c>
      <c r="E124" s="193">
        <v>3511.2</v>
      </c>
      <c r="F124" s="193">
        <v>3141.6</v>
      </c>
      <c r="G124" s="193">
        <v>3074.4</v>
      </c>
      <c r="H124" s="193">
        <v>3234</v>
      </c>
      <c r="I124" s="193">
        <v>3234</v>
      </c>
      <c r="J124" s="193">
        <v>3234</v>
      </c>
      <c r="K124" s="193">
        <v>3234</v>
      </c>
      <c r="L124" s="193">
        <v>3150</v>
      </c>
      <c r="M124" s="193">
        <v>4246.2</v>
      </c>
      <c r="N124" s="193">
        <v>4426.8</v>
      </c>
      <c r="O124" s="193">
        <v>4573.8</v>
      </c>
      <c r="P124" s="193">
        <v>4720.8</v>
      </c>
    </row>
    <row r="125" spans="1:16" x14ac:dyDescent="0.25">
      <c r="A125" s="190">
        <v>801010402</v>
      </c>
      <c r="B125" s="190" t="s">
        <v>417</v>
      </c>
      <c r="C125" s="190">
        <v>1346</v>
      </c>
      <c r="D125" s="190" t="s">
        <v>408</v>
      </c>
      <c r="E125" s="193">
        <v>4754.3999999999996</v>
      </c>
      <c r="F125" s="193">
        <v>4590.6000000000004</v>
      </c>
      <c r="G125" s="193">
        <v>4939.2</v>
      </c>
      <c r="H125" s="193">
        <v>4981.2</v>
      </c>
      <c r="I125" s="193">
        <v>5292</v>
      </c>
      <c r="J125" s="193">
        <v>5292</v>
      </c>
      <c r="K125" s="193">
        <v>5460</v>
      </c>
      <c r="L125" s="193">
        <v>5451.6</v>
      </c>
      <c r="M125" s="193">
        <v>5938.8</v>
      </c>
      <c r="N125" s="193">
        <v>6241.2</v>
      </c>
      <c r="O125" s="193">
        <v>6048</v>
      </c>
      <c r="P125" s="193">
        <v>6048</v>
      </c>
    </row>
    <row r="126" spans="1:16" x14ac:dyDescent="0.25">
      <c r="A126" s="190">
        <v>801010402</v>
      </c>
      <c r="B126" s="190" t="s">
        <v>419</v>
      </c>
      <c r="C126" s="190">
        <v>1346</v>
      </c>
      <c r="D126" s="190" t="s">
        <v>408</v>
      </c>
      <c r="E126" s="193">
        <v>5208</v>
      </c>
      <c r="F126" s="193">
        <v>4825.8</v>
      </c>
      <c r="G126" s="193">
        <v>4502.3999999999996</v>
      </c>
      <c r="H126" s="193">
        <v>4573.8</v>
      </c>
      <c r="I126" s="193">
        <v>4569.6000000000004</v>
      </c>
      <c r="J126" s="193">
        <v>4569.6000000000004</v>
      </c>
      <c r="K126" s="193">
        <v>4569.6000000000004</v>
      </c>
      <c r="L126" s="193">
        <v>4054</v>
      </c>
      <c r="M126" s="193">
        <v>4989.6000000000004</v>
      </c>
      <c r="N126" s="193">
        <v>4989.6000000000004</v>
      </c>
      <c r="O126" s="193">
        <v>5022.6000000000004</v>
      </c>
      <c r="P126" s="193">
        <v>4993.6000000000004</v>
      </c>
    </row>
    <row r="127" spans="1:16" x14ac:dyDescent="0.25">
      <c r="A127" s="190">
        <v>801010402</v>
      </c>
      <c r="B127" s="190" t="s">
        <v>420</v>
      </c>
      <c r="C127" s="190">
        <v>1346</v>
      </c>
      <c r="D127" s="190" t="s">
        <v>408</v>
      </c>
      <c r="E127" s="193">
        <v>6762</v>
      </c>
      <c r="F127" s="193">
        <v>6102.6</v>
      </c>
      <c r="G127" s="193">
        <v>5649</v>
      </c>
      <c r="H127" s="193">
        <v>5636.4</v>
      </c>
      <c r="I127" s="193">
        <v>5607</v>
      </c>
      <c r="J127" s="193">
        <v>5623.8</v>
      </c>
      <c r="K127" s="193">
        <v>5619.6</v>
      </c>
      <c r="L127" s="193">
        <v>5545</v>
      </c>
      <c r="M127" s="193">
        <v>6623.4</v>
      </c>
      <c r="N127" s="193">
        <v>6585.6</v>
      </c>
      <c r="O127" s="193">
        <v>6711.6</v>
      </c>
      <c r="P127" s="193">
        <v>6837.6</v>
      </c>
    </row>
    <row r="128" spans="1:16" x14ac:dyDescent="0.25">
      <c r="A128" s="190">
        <v>801010402</v>
      </c>
      <c r="B128" s="190" t="s">
        <v>421</v>
      </c>
      <c r="C128" s="190">
        <v>1346</v>
      </c>
      <c r="D128" s="190" t="s">
        <v>408</v>
      </c>
      <c r="E128" s="193">
        <v>3897.6</v>
      </c>
      <c r="F128" s="193">
        <v>3712.8</v>
      </c>
      <c r="G128" s="193">
        <v>3738</v>
      </c>
      <c r="H128" s="193">
        <v>3658.2</v>
      </c>
      <c r="I128" s="193">
        <v>3729.6</v>
      </c>
      <c r="J128" s="193">
        <v>3729.6</v>
      </c>
      <c r="K128" s="193">
        <v>3729.6</v>
      </c>
      <c r="L128" s="193">
        <v>3957.4</v>
      </c>
      <c r="M128" s="193">
        <v>4510.8</v>
      </c>
      <c r="N128" s="193">
        <v>4594.8</v>
      </c>
      <c r="O128" s="193">
        <v>4599</v>
      </c>
      <c r="P128" s="193">
        <v>4594.8</v>
      </c>
    </row>
    <row r="129" spans="1:16" x14ac:dyDescent="0.25">
      <c r="A129" s="190">
        <v>801010402</v>
      </c>
      <c r="B129" s="190" t="s">
        <v>422</v>
      </c>
      <c r="C129" s="190">
        <v>1346</v>
      </c>
      <c r="D129" s="190" t="s">
        <v>408</v>
      </c>
      <c r="E129" s="193">
        <v>5762.4</v>
      </c>
      <c r="F129" s="193">
        <v>5313</v>
      </c>
      <c r="G129" s="193">
        <v>5191.2</v>
      </c>
      <c r="H129" s="193">
        <v>5191.2</v>
      </c>
      <c r="I129" s="193">
        <v>5124</v>
      </c>
      <c r="J129" s="193">
        <v>5040</v>
      </c>
      <c r="K129" s="193">
        <v>5040</v>
      </c>
      <c r="L129" s="193">
        <v>2772</v>
      </c>
      <c r="M129" s="193">
        <v>6955.2</v>
      </c>
      <c r="N129" s="193">
        <v>7114.8</v>
      </c>
      <c r="O129" s="193">
        <v>7266</v>
      </c>
      <c r="P129" s="193">
        <v>7266</v>
      </c>
    </row>
    <row r="130" spans="1:16" x14ac:dyDescent="0.25">
      <c r="A130" s="190">
        <v>801010402</v>
      </c>
      <c r="B130" s="190" t="s">
        <v>423</v>
      </c>
      <c r="C130" s="190">
        <v>1346</v>
      </c>
      <c r="D130" s="190" t="s">
        <v>408</v>
      </c>
      <c r="E130" s="193">
        <v>3074.4</v>
      </c>
      <c r="F130" s="193">
        <v>2822.4</v>
      </c>
      <c r="G130" s="193">
        <v>2746.8</v>
      </c>
      <c r="H130" s="193">
        <v>2746.8</v>
      </c>
      <c r="I130" s="193">
        <v>2746.8</v>
      </c>
      <c r="J130" s="193">
        <v>2746.8</v>
      </c>
      <c r="K130" s="193">
        <v>1373.4</v>
      </c>
      <c r="L130" s="193">
        <v>2847.6</v>
      </c>
      <c r="M130" s="193">
        <v>4065.6</v>
      </c>
      <c r="N130" s="193">
        <v>4141.2</v>
      </c>
      <c r="O130" s="193">
        <v>4183.2</v>
      </c>
      <c r="P130" s="193">
        <v>4292.3999999999996</v>
      </c>
    </row>
    <row r="131" spans="1:16" x14ac:dyDescent="0.25">
      <c r="A131" s="190">
        <v>801010402</v>
      </c>
      <c r="B131" s="190" t="s">
        <v>424</v>
      </c>
      <c r="C131" s="190">
        <v>1346</v>
      </c>
      <c r="D131" s="190" t="s">
        <v>408</v>
      </c>
      <c r="E131" s="193">
        <v>5560.8</v>
      </c>
      <c r="F131" s="193">
        <v>4418.3999999999996</v>
      </c>
      <c r="G131" s="193">
        <v>4813.2</v>
      </c>
      <c r="H131" s="193">
        <v>4888.8</v>
      </c>
      <c r="I131" s="193">
        <v>4964.3999999999996</v>
      </c>
      <c r="J131" s="193">
        <v>5040</v>
      </c>
      <c r="K131" s="193">
        <v>5040</v>
      </c>
      <c r="L131" s="193">
        <v>4926.6000000000004</v>
      </c>
      <c r="M131" s="193">
        <v>8362.2000000000007</v>
      </c>
      <c r="N131" s="193">
        <v>8584.7999999999993</v>
      </c>
      <c r="O131" s="193">
        <v>9042.6</v>
      </c>
      <c r="P131" s="193">
        <v>9046.7999999999993</v>
      </c>
    </row>
    <row r="132" spans="1:16" x14ac:dyDescent="0.25">
      <c r="A132" s="190">
        <v>801010402</v>
      </c>
      <c r="B132" s="190" t="s">
        <v>425</v>
      </c>
      <c r="C132" s="190">
        <v>1346</v>
      </c>
      <c r="D132" s="190" t="s">
        <v>408</v>
      </c>
      <c r="E132" s="193">
        <v>2704.8</v>
      </c>
      <c r="F132" s="193">
        <v>1877.4</v>
      </c>
      <c r="G132" s="193">
        <v>1999.2</v>
      </c>
      <c r="H132" s="193">
        <v>1927.8</v>
      </c>
      <c r="I132" s="193">
        <v>1856.4</v>
      </c>
      <c r="J132" s="193">
        <v>1990.8</v>
      </c>
      <c r="K132" s="193">
        <v>1990.8</v>
      </c>
      <c r="L132" s="193">
        <v>1604.4</v>
      </c>
      <c r="M132" s="193">
        <v>2658.6</v>
      </c>
      <c r="N132" s="193">
        <v>2545.1999999999998</v>
      </c>
      <c r="O132" s="193">
        <v>3015.6</v>
      </c>
      <c r="P132" s="193">
        <v>3024</v>
      </c>
    </row>
    <row r="133" spans="1:16" x14ac:dyDescent="0.25">
      <c r="A133" s="190">
        <v>801010402</v>
      </c>
      <c r="B133" s="190" t="s">
        <v>426</v>
      </c>
      <c r="C133" s="190">
        <v>1346</v>
      </c>
      <c r="D133" s="190" t="s">
        <v>408</v>
      </c>
      <c r="E133" s="193">
        <v>7896</v>
      </c>
      <c r="F133" s="193">
        <v>6069</v>
      </c>
      <c r="G133" s="193">
        <v>6573</v>
      </c>
      <c r="H133" s="193">
        <v>7219.8</v>
      </c>
      <c r="I133" s="193">
        <v>7266</v>
      </c>
      <c r="J133" s="193">
        <v>7282.8</v>
      </c>
      <c r="K133" s="193">
        <v>7282.8</v>
      </c>
      <c r="L133" s="193">
        <v>5812.8</v>
      </c>
      <c r="M133" s="193">
        <v>6795.6</v>
      </c>
      <c r="N133" s="193">
        <v>7576.8</v>
      </c>
      <c r="O133" s="193">
        <v>7711.2</v>
      </c>
      <c r="P133" s="193">
        <v>7761.6</v>
      </c>
    </row>
    <row r="134" spans="1:16" x14ac:dyDescent="0.25">
      <c r="A134" s="190">
        <v>801010402</v>
      </c>
      <c r="B134" s="190" t="s">
        <v>427</v>
      </c>
      <c r="C134" s="190">
        <v>1346</v>
      </c>
      <c r="D134" s="190" t="s">
        <v>408</v>
      </c>
      <c r="E134" s="193">
        <v>4183.2</v>
      </c>
      <c r="F134" s="193">
        <v>3872.4</v>
      </c>
      <c r="G134" s="193">
        <v>3561.6</v>
      </c>
      <c r="H134" s="193">
        <v>3561.6</v>
      </c>
      <c r="I134" s="193">
        <v>3574.2</v>
      </c>
      <c r="J134" s="193">
        <v>3570</v>
      </c>
      <c r="K134" s="193">
        <v>3570</v>
      </c>
      <c r="L134" s="193">
        <v>3822</v>
      </c>
      <c r="M134" s="193">
        <v>4687.2</v>
      </c>
      <c r="N134" s="193">
        <v>4695.6000000000004</v>
      </c>
      <c r="O134" s="193">
        <v>4737.6000000000004</v>
      </c>
      <c r="P134" s="193">
        <v>4737.6000000000004</v>
      </c>
    </row>
    <row r="135" spans="1:16" x14ac:dyDescent="0.25">
      <c r="A135" s="190">
        <v>801010402</v>
      </c>
      <c r="B135" s="190" t="s">
        <v>428</v>
      </c>
      <c r="C135" s="190">
        <v>1346</v>
      </c>
      <c r="D135" s="190" t="s">
        <v>408</v>
      </c>
      <c r="E135" s="193">
        <v>6652.8</v>
      </c>
      <c r="F135" s="193">
        <v>5808.6</v>
      </c>
      <c r="G135" s="193">
        <v>5359.2</v>
      </c>
      <c r="H135" s="193">
        <v>5359.2</v>
      </c>
      <c r="I135" s="193">
        <v>5359.2</v>
      </c>
      <c r="J135" s="193">
        <v>5460</v>
      </c>
      <c r="K135" s="193">
        <v>5518.8</v>
      </c>
      <c r="L135" s="193">
        <v>5615.4</v>
      </c>
      <c r="M135" s="193">
        <v>6799.8</v>
      </c>
      <c r="N135" s="193">
        <v>6854.4</v>
      </c>
      <c r="O135" s="193">
        <v>6930</v>
      </c>
      <c r="P135" s="193">
        <v>7039.2</v>
      </c>
    </row>
    <row r="136" spans="1:16" x14ac:dyDescent="0.25">
      <c r="A136" s="190">
        <v>801010402</v>
      </c>
      <c r="B136" s="190" t="s">
        <v>429</v>
      </c>
      <c r="C136" s="190">
        <v>1346</v>
      </c>
      <c r="D136" s="190" t="s">
        <v>408</v>
      </c>
      <c r="E136" s="193">
        <v>2944.2</v>
      </c>
      <c r="F136" s="193">
        <v>2788.8</v>
      </c>
      <c r="G136" s="193">
        <v>2923.2</v>
      </c>
      <c r="H136" s="193">
        <v>2940</v>
      </c>
      <c r="I136" s="193">
        <v>2956.8</v>
      </c>
      <c r="J136" s="193">
        <v>2956.8</v>
      </c>
      <c r="K136" s="193">
        <v>2956.8</v>
      </c>
      <c r="L136" s="193">
        <v>2415</v>
      </c>
      <c r="M136" s="193">
        <v>2402.4</v>
      </c>
      <c r="N136" s="193">
        <v>2524.1999999999998</v>
      </c>
      <c r="O136" s="193">
        <v>2637.6</v>
      </c>
      <c r="P136" s="193">
        <v>2704.8</v>
      </c>
    </row>
    <row r="137" spans="1:16" x14ac:dyDescent="0.25">
      <c r="A137" s="190">
        <v>801010402</v>
      </c>
      <c r="B137" s="190" t="s">
        <v>430</v>
      </c>
      <c r="C137" s="190">
        <v>1346</v>
      </c>
      <c r="D137" s="190" t="s">
        <v>408</v>
      </c>
      <c r="E137" s="193">
        <v>4384.8</v>
      </c>
      <c r="F137" s="193">
        <v>3927</v>
      </c>
      <c r="G137" s="193">
        <v>4208.3999999999996</v>
      </c>
      <c r="H137" s="193">
        <v>4208.3999999999996</v>
      </c>
      <c r="I137" s="193">
        <v>4208.3999999999996</v>
      </c>
      <c r="J137" s="193">
        <v>4208.3999999999996</v>
      </c>
      <c r="K137" s="193">
        <v>4208.3999999999996</v>
      </c>
      <c r="L137" s="193">
        <v>4002.6</v>
      </c>
      <c r="M137" s="193">
        <v>5573.4</v>
      </c>
      <c r="N137" s="193">
        <v>5552.4</v>
      </c>
      <c r="O137" s="193">
        <v>5506.2</v>
      </c>
      <c r="P137" s="193">
        <v>5384.4</v>
      </c>
    </row>
    <row r="138" spans="1:16" x14ac:dyDescent="0.25">
      <c r="A138" s="190">
        <v>801010402</v>
      </c>
      <c r="B138" s="190" t="s">
        <v>431</v>
      </c>
      <c r="C138" s="190">
        <v>1346</v>
      </c>
      <c r="D138" s="190" t="s">
        <v>408</v>
      </c>
      <c r="E138" s="193">
        <v>4771.2</v>
      </c>
      <c r="F138" s="193">
        <v>4351.2</v>
      </c>
      <c r="G138" s="193">
        <v>4242</v>
      </c>
      <c r="H138" s="193">
        <v>4246.2</v>
      </c>
      <c r="I138" s="193">
        <v>4250.3999999999996</v>
      </c>
      <c r="J138" s="193">
        <v>4250.3999999999996</v>
      </c>
      <c r="K138" s="193">
        <v>4250.3999999999996</v>
      </c>
      <c r="L138" s="193">
        <v>4254.6000000000004</v>
      </c>
      <c r="M138" s="193">
        <v>5707.8</v>
      </c>
      <c r="N138" s="193">
        <v>5968.2</v>
      </c>
      <c r="O138" s="193">
        <v>5964</v>
      </c>
      <c r="P138" s="193">
        <v>5964</v>
      </c>
    </row>
    <row r="139" spans="1:16" x14ac:dyDescent="0.25">
      <c r="A139" s="190">
        <v>801010402</v>
      </c>
      <c r="B139" s="190" t="s">
        <v>432</v>
      </c>
      <c r="C139" s="190">
        <v>1346</v>
      </c>
      <c r="D139" s="190" t="s">
        <v>408</v>
      </c>
      <c r="E139" s="193">
        <v>6468</v>
      </c>
      <c r="F139" s="193">
        <v>6106.8</v>
      </c>
      <c r="G139" s="193">
        <v>6547.8</v>
      </c>
      <c r="H139" s="193">
        <v>6648.6</v>
      </c>
      <c r="I139" s="193">
        <v>6900.6</v>
      </c>
      <c r="J139" s="193">
        <v>6912.6</v>
      </c>
      <c r="K139" s="193">
        <v>6812.4</v>
      </c>
      <c r="L139" s="193">
        <v>6783</v>
      </c>
      <c r="M139" s="193">
        <v>7744.8</v>
      </c>
      <c r="N139" s="193">
        <v>7992.6</v>
      </c>
      <c r="O139" s="193">
        <v>8122.8</v>
      </c>
      <c r="P139" s="193">
        <v>8122.8</v>
      </c>
    </row>
    <row r="140" spans="1:16" x14ac:dyDescent="0.25">
      <c r="A140" s="190">
        <v>801010402</v>
      </c>
      <c r="B140" s="190" t="s">
        <v>433</v>
      </c>
      <c r="C140" s="190">
        <v>1346</v>
      </c>
      <c r="D140" s="190" t="s">
        <v>408</v>
      </c>
      <c r="E140" s="193">
        <v>3259.2</v>
      </c>
      <c r="F140" s="193">
        <v>3439.8</v>
      </c>
      <c r="G140" s="193">
        <v>3620.4</v>
      </c>
      <c r="H140" s="193">
        <v>3620.4</v>
      </c>
      <c r="I140" s="193">
        <v>3956.4</v>
      </c>
      <c r="J140" s="193">
        <v>3956.4</v>
      </c>
      <c r="K140" s="193">
        <v>3956.4</v>
      </c>
      <c r="L140" s="193">
        <v>4141.2</v>
      </c>
      <c r="M140" s="193">
        <v>5317.2</v>
      </c>
      <c r="N140" s="193">
        <v>5317.2</v>
      </c>
      <c r="O140" s="193">
        <v>5317.2</v>
      </c>
      <c r="P140" s="193">
        <v>5317.2</v>
      </c>
    </row>
    <row r="141" spans="1:16" x14ac:dyDescent="0.25">
      <c r="A141" s="190">
        <v>801010402</v>
      </c>
      <c r="B141" s="190" t="s">
        <v>434</v>
      </c>
      <c r="C141" s="190">
        <v>1346</v>
      </c>
      <c r="D141" s="190" t="s">
        <v>408</v>
      </c>
      <c r="E141" s="193">
        <v>2965.2</v>
      </c>
      <c r="F141" s="193">
        <v>2746.8</v>
      </c>
      <c r="G141" s="193">
        <v>2637.6</v>
      </c>
      <c r="H141" s="193">
        <v>2637.6</v>
      </c>
      <c r="I141" s="193">
        <v>2637.6</v>
      </c>
      <c r="J141" s="193">
        <v>2637.6</v>
      </c>
      <c r="K141" s="193">
        <v>2637.6</v>
      </c>
      <c r="L141" s="193">
        <v>3028.2</v>
      </c>
      <c r="M141" s="193">
        <v>4163.8</v>
      </c>
      <c r="N141" s="193">
        <v>4153.8</v>
      </c>
      <c r="O141" s="193">
        <v>4107.6000000000004</v>
      </c>
      <c r="P141" s="193">
        <v>4107.6000000000004</v>
      </c>
    </row>
    <row r="142" spans="1:16" x14ac:dyDescent="0.25">
      <c r="A142" s="190">
        <v>801010402</v>
      </c>
      <c r="B142" s="190" t="s">
        <v>435</v>
      </c>
      <c r="C142" s="190">
        <v>1346</v>
      </c>
      <c r="D142" s="190" t="s">
        <v>408</v>
      </c>
      <c r="E142" s="191">
        <v>0</v>
      </c>
      <c r="F142" s="193">
        <v>1377.6</v>
      </c>
      <c r="G142" s="191">
        <v>772.8</v>
      </c>
      <c r="H142" s="191">
        <v>772.8</v>
      </c>
      <c r="I142" s="191">
        <v>831.6</v>
      </c>
      <c r="J142" s="191">
        <v>890.4</v>
      </c>
      <c r="K142" s="191">
        <v>890.4</v>
      </c>
      <c r="L142" s="191">
        <v>957.6</v>
      </c>
      <c r="M142" s="193">
        <v>1533</v>
      </c>
      <c r="N142" s="193">
        <v>1562.4</v>
      </c>
      <c r="O142" s="193">
        <v>1579.2</v>
      </c>
      <c r="P142" s="193">
        <v>1579.2</v>
      </c>
    </row>
    <row r="143" spans="1:16" x14ac:dyDescent="0.25">
      <c r="A143" s="190">
        <v>801010402</v>
      </c>
      <c r="B143" s="190" t="s">
        <v>436</v>
      </c>
      <c r="C143" s="190">
        <v>1346</v>
      </c>
      <c r="D143" s="190" t="s">
        <v>408</v>
      </c>
      <c r="E143" s="193">
        <v>2612.4</v>
      </c>
      <c r="F143" s="193">
        <v>2524.1999999999998</v>
      </c>
      <c r="G143" s="193">
        <v>2679.6</v>
      </c>
      <c r="H143" s="193">
        <v>2679.6</v>
      </c>
      <c r="I143" s="193">
        <v>2679.6</v>
      </c>
      <c r="J143" s="193">
        <v>2679.6</v>
      </c>
      <c r="K143" s="193">
        <v>2679.6</v>
      </c>
      <c r="L143" s="193">
        <v>2952.6</v>
      </c>
      <c r="M143" s="193">
        <v>3326.4</v>
      </c>
      <c r="N143" s="193">
        <v>3326.4</v>
      </c>
      <c r="O143" s="193">
        <v>3150</v>
      </c>
      <c r="P143" s="193">
        <v>3150</v>
      </c>
    </row>
    <row r="144" spans="1:16" x14ac:dyDescent="0.25">
      <c r="A144" s="190">
        <v>801010402</v>
      </c>
      <c r="B144" s="190" t="s">
        <v>437</v>
      </c>
      <c r="C144" s="190">
        <v>1346</v>
      </c>
      <c r="D144" s="190" t="s">
        <v>408</v>
      </c>
      <c r="E144" s="191">
        <v>0</v>
      </c>
      <c r="F144" s="191">
        <v>168</v>
      </c>
      <c r="G144" s="191">
        <v>336</v>
      </c>
      <c r="H144" s="191">
        <v>0</v>
      </c>
      <c r="I144" s="191">
        <v>0</v>
      </c>
      <c r="J144" s="191">
        <v>0</v>
      </c>
      <c r="K144" s="191">
        <v>0</v>
      </c>
      <c r="L144" s="191">
        <v>0</v>
      </c>
      <c r="M144" s="191">
        <v>0</v>
      </c>
      <c r="N144" s="191">
        <v>0</v>
      </c>
      <c r="O144" s="191">
        <v>0</v>
      </c>
      <c r="P144" s="191">
        <v>0</v>
      </c>
    </row>
    <row r="145" spans="1:16" x14ac:dyDescent="0.25">
      <c r="A145" s="190">
        <v>801010402</v>
      </c>
      <c r="B145" s="190" t="s">
        <v>407</v>
      </c>
      <c r="C145" s="190">
        <v>1347</v>
      </c>
      <c r="D145" s="190" t="s">
        <v>408</v>
      </c>
      <c r="E145" s="191">
        <v>0</v>
      </c>
      <c r="F145" s="191">
        <v>0</v>
      </c>
      <c r="G145" s="191">
        <v>0</v>
      </c>
      <c r="H145" s="191">
        <v>0</v>
      </c>
      <c r="I145" s="191">
        <v>0</v>
      </c>
      <c r="J145" s="191">
        <v>0</v>
      </c>
      <c r="K145" s="191">
        <v>0</v>
      </c>
      <c r="L145" s="191">
        <v>0</v>
      </c>
      <c r="M145" s="191">
        <v>0</v>
      </c>
      <c r="N145" s="191">
        <v>0</v>
      </c>
      <c r="O145" s="191">
        <v>0</v>
      </c>
      <c r="P145" s="193">
        <v>1157766</v>
      </c>
    </row>
    <row r="146" spans="1:16" x14ac:dyDescent="0.25">
      <c r="A146" s="190">
        <v>801010402</v>
      </c>
      <c r="B146" s="190" t="s">
        <v>407</v>
      </c>
      <c r="C146" s="190">
        <v>1412</v>
      </c>
      <c r="D146" s="190" t="s">
        <v>408</v>
      </c>
      <c r="E146" s="191">
        <v>0</v>
      </c>
      <c r="F146" s="193">
        <v>29777.59</v>
      </c>
      <c r="G146" s="193">
        <v>61459.16</v>
      </c>
      <c r="H146" s="193">
        <v>31416.19</v>
      </c>
      <c r="I146" s="193">
        <v>32949.629999999997</v>
      </c>
      <c r="J146" s="193">
        <v>33002.629999999997</v>
      </c>
      <c r="K146" s="193">
        <v>17380.97</v>
      </c>
      <c r="L146" s="193">
        <v>55350.45</v>
      </c>
      <c r="M146" s="193">
        <v>21519.599999999999</v>
      </c>
      <c r="N146" s="193">
        <v>43811.360000000001</v>
      </c>
      <c r="O146" s="193">
        <v>43613.04</v>
      </c>
      <c r="P146" s="193">
        <v>43670.09</v>
      </c>
    </row>
    <row r="147" spans="1:16" x14ac:dyDescent="0.25">
      <c r="A147" s="190">
        <v>801010402</v>
      </c>
      <c r="B147" s="190" t="s">
        <v>410</v>
      </c>
      <c r="C147" s="190">
        <v>1412</v>
      </c>
      <c r="D147" s="190" t="s">
        <v>408</v>
      </c>
      <c r="E147" s="191">
        <v>0</v>
      </c>
      <c r="F147" s="193">
        <v>5744.12</v>
      </c>
      <c r="G147" s="193">
        <v>14823.09</v>
      </c>
      <c r="H147" s="193">
        <v>7129.05</v>
      </c>
      <c r="I147" s="193">
        <v>7018.81</v>
      </c>
      <c r="J147" s="193">
        <v>7018.8</v>
      </c>
      <c r="K147" s="193">
        <v>3509.4</v>
      </c>
      <c r="L147" s="193">
        <v>16140.02</v>
      </c>
      <c r="M147" s="191">
        <v>0</v>
      </c>
      <c r="N147" s="193">
        <v>9246.02</v>
      </c>
      <c r="O147" s="193">
        <v>9353</v>
      </c>
      <c r="P147" s="193">
        <v>10895.43</v>
      </c>
    </row>
    <row r="148" spans="1:16" x14ac:dyDescent="0.25">
      <c r="A148" s="190">
        <v>801010402</v>
      </c>
      <c r="B148" s="190" t="s">
        <v>411</v>
      </c>
      <c r="C148" s="190">
        <v>1412</v>
      </c>
      <c r="D148" s="190" t="s">
        <v>408</v>
      </c>
      <c r="E148" s="191">
        <v>0</v>
      </c>
      <c r="F148" s="193">
        <v>6489.24</v>
      </c>
      <c r="G148" s="193">
        <v>12730.44</v>
      </c>
      <c r="H148" s="193">
        <v>6406.56</v>
      </c>
      <c r="I148" s="193">
        <v>6268.76</v>
      </c>
      <c r="J148" s="193">
        <v>6337.66</v>
      </c>
      <c r="K148" s="193">
        <v>3203.28</v>
      </c>
      <c r="L148" s="193">
        <v>16954.89</v>
      </c>
      <c r="M148" s="191">
        <v>0</v>
      </c>
      <c r="N148" s="193">
        <v>8907.94</v>
      </c>
      <c r="O148" s="193">
        <v>8907.94</v>
      </c>
      <c r="P148" s="193">
        <v>10192.27</v>
      </c>
    </row>
    <row r="149" spans="1:16" x14ac:dyDescent="0.25">
      <c r="A149" s="190">
        <v>801010402</v>
      </c>
      <c r="B149" s="190" t="s">
        <v>412</v>
      </c>
      <c r="C149" s="190">
        <v>1412</v>
      </c>
      <c r="D149" s="190" t="s">
        <v>408</v>
      </c>
      <c r="E149" s="191">
        <v>0</v>
      </c>
      <c r="F149" s="193">
        <v>7997.21</v>
      </c>
      <c r="G149" s="193">
        <v>17103.740000000002</v>
      </c>
      <c r="H149" s="193">
        <v>1294.73</v>
      </c>
      <c r="I149" s="193">
        <v>14913.28</v>
      </c>
      <c r="J149" s="193">
        <v>8024.78</v>
      </c>
      <c r="K149" s="193">
        <v>4033.06</v>
      </c>
      <c r="L149" s="193">
        <v>17113.78</v>
      </c>
      <c r="M149" s="191">
        <v>0</v>
      </c>
      <c r="N149" s="193">
        <v>10052.040000000001</v>
      </c>
      <c r="O149" s="193">
        <v>10066.32</v>
      </c>
      <c r="P149" s="193">
        <v>11262.95</v>
      </c>
    </row>
    <row r="150" spans="1:16" x14ac:dyDescent="0.25">
      <c r="A150" s="190">
        <v>801010402</v>
      </c>
      <c r="B150" s="190" t="s">
        <v>413</v>
      </c>
      <c r="C150" s="190">
        <v>1412</v>
      </c>
      <c r="D150" s="190" t="s">
        <v>408</v>
      </c>
      <c r="E150" s="191">
        <v>0</v>
      </c>
      <c r="F150" s="193">
        <v>6763.87</v>
      </c>
      <c r="G150" s="193">
        <v>14609.5</v>
      </c>
      <c r="H150" s="191">
        <v>0</v>
      </c>
      <c r="I150" s="193">
        <v>14120.29</v>
      </c>
      <c r="J150" s="193">
        <v>7060.14</v>
      </c>
      <c r="K150" s="193">
        <v>3220.02</v>
      </c>
      <c r="L150" s="193">
        <v>16140.97</v>
      </c>
      <c r="M150" s="191">
        <v>0</v>
      </c>
      <c r="N150" s="193">
        <v>7904.96</v>
      </c>
      <c r="O150" s="193">
        <v>7805.1</v>
      </c>
      <c r="P150" s="193">
        <v>8902.19</v>
      </c>
    </row>
    <row r="151" spans="1:16" x14ac:dyDescent="0.25">
      <c r="A151" s="190">
        <v>801010402</v>
      </c>
      <c r="B151" s="190" t="s">
        <v>414</v>
      </c>
      <c r="C151" s="190">
        <v>1412</v>
      </c>
      <c r="D151" s="190" t="s">
        <v>408</v>
      </c>
      <c r="E151" s="191">
        <v>0</v>
      </c>
      <c r="F151" s="193">
        <v>7416.96</v>
      </c>
      <c r="G151" s="193">
        <v>16223.38</v>
      </c>
      <c r="H151" s="191">
        <v>0</v>
      </c>
      <c r="I151" s="193">
        <v>16118.22</v>
      </c>
      <c r="J151" s="193">
        <v>7963.74</v>
      </c>
      <c r="K151" s="193">
        <v>4074.4</v>
      </c>
      <c r="L151" s="193">
        <v>20382.22</v>
      </c>
      <c r="M151" s="191">
        <v>0</v>
      </c>
      <c r="N151" s="193">
        <v>10936.56</v>
      </c>
      <c r="O151" s="193">
        <v>10979.34</v>
      </c>
      <c r="P151" s="193">
        <v>11893.12</v>
      </c>
    </row>
    <row r="152" spans="1:16" x14ac:dyDescent="0.25">
      <c r="A152" s="190">
        <v>801010402</v>
      </c>
      <c r="B152" s="190" t="s">
        <v>415</v>
      </c>
      <c r="C152" s="190">
        <v>1412</v>
      </c>
      <c r="D152" s="190" t="s">
        <v>408</v>
      </c>
      <c r="E152" s="191">
        <v>0</v>
      </c>
      <c r="F152" s="193">
        <v>5585.85</v>
      </c>
      <c r="G152" s="193">
        <v>11309.51</v>
      </c>
      <c r="H152" s="191">
        <v>0</v>
      </c>
      <c r="I152" s="193">
        <v>11095.92</v>
      </c>
      <c r="J152" s="193">
        <v>5303.35</v>
      </c>
      <c r="K152" s="193">
        <v>2641.34</v>
      </c>
      <c r="L152" s="193">
        <v>14024.92</v>
      </c>
      <c r="M152" s="191">
        <v>0</v>
      </c>
      <c r="N152" s="193">
        <v>7876.65</v>
      </c>
      <c r="O152" s="193">
        <v>8054.96</v>
      </c>
      <c r="P152" s="193">
        <v>8278.73</v>
      </c>
    </row>
    <row r="153" spans="1:16" x14ac:dyDescent="0.25">
      <c r="A153" s="190">
        <v>801010402</v>
      </c>
      <c r="B153" s="190" t="s">
        <v>416</v>
      </c>
      <c r="C153" s="190">
        <v>1412</v>
      </c>
      <c r="D153" s="190" t="s">
        <v>408</v>
      </c>
      <c r="E153" s="191">
        <v>0</v>
      </c>
      <c r="F153" s="193">
        <v>7308.19</v>
      </c>
      <c r="G153" s="193">
        <v>15308.51</v>
      </c>
      <c r="H153" s="191">
        <v>0</v>
      </c>
      <c r="I153" s="193">
        <v>15115.58</v>
      </c>
      <c r="J153" s="193">
        <v>7459.78</v>
      </c>
      <c r="K153" s="193">
        <v>3729.89</v>
      </c>
      <c r="L153" s="193">
        <v>18595.21</v>
      </c>
      <c r="M153" s="191">
        <v>0</v>
      </c>
      <c r="N153" s="193">
        <v>9952.18</v>
      </c>
      <c r="O153" s="193">
        <v>10201.83</v>
      </c>
      <c r="P153" s="193">
        <v>11772.52</v>
      </c>
    </row>
    <row r="154" spans="1:16" x14ac:dyDescent="0.25">
      <c r="A154" s="190">
        <v>801010402</v>
      </c>
      <c r="B154" s="190" t="s">
        <v>417</v>
      </c>
      <c r="C154" s="190">
        <v>1412</v>
      </c>
      <c r="D154" s="190" t="s">
        <v>408</v>
      </c>
      <c r="E154" s="191">
        <v>0</v>
      </c>
      <c r="F154" s="193">
        <v>9870.36</v>
      </c>
      <c r="G154" s="193">
        <v>20396.27</v>
      </c>
      <c r="H154" s="191">
        <v>0</v>
      </c>
      <c r="I154" s="193">
        <v>21532.16</v>
      </c>
      <c r="J154" s="193">
        <v>11021.02</v>
      </c>
      <c r="K154" s="193">
        <v>5510.51</v>
      </c>
      <c r="L154" s="193">
        <v>27807.98</v>
      </c>
      <c r="M154" s="191">
        <v>0</v>
      </c>
      <c r="N154" s="193">
        <v>13236.24</v>
      </c>
      <c r="O154" s="193">
        <v>12908.11</v>
      </c>
      <c r="P154" s="193">
        <v>14400.15</v>
      </c>
    </row>
    <row r="155" spans="1:16" x14ac:dyDescent="0.25">
      <c r="A155" s="190">
        <v>801010402</v>
      </c>
      <c r="B155" s="190" t="s">
        <v>419</v>
      </c>
      <c r="C155" s="190">
        <v>1412</v>
      </c>
      <c r="D155" s="190" t="s">
        <v>408</v>
      </c>
      <c r="E155" s="191">
        <v>0</v>
      </c>
      <c r="F155" s="193">
        <v>10071.16</v>
      </c>
      <c r="G155" s="193">
        <v>20238.77</v>
      </c>
      <c r="H155" s="191">
        <v>0</v>
      </c>
      <c r="I155" s="193">
        <v>19308.599999999999</v>
      </c>
      <c r="J155" s="193">
        <v>9650.85</v>
      </c>
      <c r="K155" s="193">
        <v>4825.43</v>
      </c>
      <c r="L155" s="193">
        <v>22922.76</v>
      </c>
      <c r="M155" s="191">
        <v>0</v>
      </c>
      <c r="N155" s="193">
        <v>10908.04</v>
      </c>
      <c r="O155" s="193">
        <v>11013.69</v>
      </c>
      <c r="P155" s="193">
        <v>12450.65</v>
      </c>
    </row>
    <row r="156" spans="1:16" x14ac:dyDescent="0.25">
      <c r="A156" s="190">
        <v>801010402</v>
      </c>
      <c r="B156" s="190" t="s">
        <v>420</v>
      </c>
      <c r="C156" s="190">
        <v>1412</v>
      </c>
      <c r="D156" s="190" t="s">
        <v>408</v>
      </c>
      <c r="E156" s="191">
        <v>0</v>
      </c>
      <c r="F156" s="193">
        <v>12561.57</v>
      </c>
      <c r="G156" s="193">
        <v>25460.75</v>
      </c>
      <c r="H156" s="191">
        <v>0</v>
      </c>
      <c r="I156" s="193">
        <v>11748.52</v>
      </c>
      <c r="J156" s="193">
        <v>11776.09</v>
      </c>
      <c r="K156" s="193">
        <v>5884.6</v>
      </c>
      <c r="L156" s="193">
        <v>28695.11</v>
      </c>
      <c r="M156" s="191">
        <v>0</v>
      </c>
      <c r="N156" s="193">
        <v>14045.28</v>
      </c>
      <c r="O156" s="193">
        <v>14259.28</v>
      </c>
      <c r="P156" s="193">
        <v>16167.5</v>
      </c>
    </row>
    <row r="157" spans="1:16" x14ac:dyDescent="0.25">
      <c r="A157" s="190">
        <v>801010402</v>
      </c>
      <c r="B157" s="190" t="s">
        <v>421</v>
      </c>
      <c r="C157" s="190">
        <v>1412</v>
      </c>
      <c r="D157" s="190" t="s">
        <v>408</v>
      </c>
      <c r="E157" s="191">
        <v>0</v>
      </c>
      <c r="F157" s="193">
        <v>8245.24</v>
      </c>
      <c r="G157" s="193">
        <v>16835.02</v>
      </c>
      <c r="H157" s="191">
        <v>0</v>
      </c>
      <c r="I157" s="193">
        <v>8272.82</v>
      </c>
      <c r="J157" s="193">
        <v>12285.2</v>
      </c>
      <c r="K157" s="193">
        <v>4136.41</v>
      </c>
      <c r="L157" s="193">
        <v>21301.46</v>
      </c>
      <c r="M157" s="191">
        <v>0</v>
      </c>
      <c r="N157" s="193">
        <v>10237.5</v>
      </c>
      <c r="O157" s="193">
        <v>10244.64</v>
      </c>
      <c r="P157" s="193">
        <v>11729.26</v>
      </c>
    </row>
    <row r="158" spans="1:16" x14ac:dyDescent="0.25">
      <c r="A158" s="190">
        <v>801010402</v>
      </c>
      <c r="B158" s="190" t="s">
        <v>422</v>
      </c>
      <c r="C158" s="190">
        <v>1412</v>
      </c>
      <c r="D158" s="190" t="s">
        <v>408</v>
      </c>
      <c r="E158" s="191">
        <v>0</v>
      </c>
      <c r="F158" s="193">
        <v>10870.41</v>
      </c>
      <c r="G158" s="193">
        <v>22278.26</v>
      </c>
      <c r="H158" s="191">
        <v>0</v>
      </c>
      <c r="I158" s="193">
        <v>10560.36</v>
      </c>
      <c r="J158" s="193">
        <v>15757.85</v>
      </c>
      <c r="K158" s="193">
        <v>5211.28</v>
      </c>
      <c r="L158" s="193">
        <v>25987.63</v>
      </c>
      <c r="M158" s="191">
        <v>0</v>
      </c>
      <c r="N158" s="193">
        <v>14517.42</v>
      </c>
      <c r="O158" s="193">
        <v>14774.22</v>
      </c>
      <c r="P158" s="193">
        <v>15429.26</v>
      </c>
    </row>
    <row r="159" spans="1:16" x14ac:dyDescent="0.25">
      <c r="A159" s="190">
        <v>801010402</v>
      </c>
      <c r="B159" s="190" t="s">
        <v>423</v>
      </c>
      <c r="C159" s="190">
        <v>1412</v>
      </c>
      <c r="D159" s="190" t="s">
        <v>408</v>
      </c>
      <c r="E159" s="191">
        <v>0</v>
      </c>
      <c r="F159" s="193">
        <v>6784.54</v>
      </c>
      <c r="G159" s="193">
        <v>13721.92</v>
      </c>
      <c r="H159" s="191">
        <v>0</v>
      </c>
      <c r="I159" s="193">
        <v>6660.52</v>
      </c>
      <c r="J159" s="193">
        <v>9990.7800000000007</v>
      </c>
      <c r="K159" s="193">
        <v>3330.26</v>
      </c>
      <c r="L159" s="193">
        <v>17189.07</v>
      </c>
      <c r="M159" s="191">
        <v>0</v>
      </c>
      <c r="N159" s="193">
        <v>9467.1200000000008</v>
      </c>
      <c r="O159" s="193">
        <v>9538.4699999999993</v>
      </c>
      <c r="P159" s="193">
        <v>11220.81</v>
      </c>
    </row>
    <row r="160" spans="1:16" x14ac:dyDescent="0.25">
      <c r="A160" s="190">
        <v>801010402</v>
      </c>
      <c r="B160" s="190" t="s">
        <v>424</v>
      </c>
      <c r="C160" s="190">
        <v>1412</v>
      </c>
      <c r="D160" s="190" t="s">
        <v>408</v>
      </c>
      <c r="E160" s="191">
        <v>0</v>
      </c>
      <c r="F160" s="193">
        <v>9613.5499999999993</v>
      </c>
      <c r="G160" s="193">
        <v>22119.01</v>
      </c>
      <c r="H160" s="191">
        <v>0</v>
      </c>
      <c r="I160" s="193">
        <v>10694.32</v>
      </c>
      <c r="J160" s="193">
        <v>16165.51</v>
      </c>
      <c r="K160" s="193">
        <v>5409.17</v>
      </c>
      <c r="L160" s="193">
        <v>26442.09</v>
      </c>
      <c r="M160" s="191">
        <v>0</v>
      </c>
      <c r="N160" s="193">
        <v>17072.77</v>
      </c>
      <c r="O160" s="193">
        <v>17850.27</v>
      </c>
      <c r="P160" s="193">
        <v>19074.53</v>
      </c>
    </row>
    <row r="161" spans="1:16" x14ac:dyDescent="0.25">
      <c r="A161" s="190">
        <v>801010402</v>
      </c>
      <c r="B161" s="190" t="s">
        <v>425</v>
      </c>
      <c r="C161" s="190">
        <v>1412</v>
      </c>
      <c r="D161" s="190" t="s">
        <v>408</v>
      </c>
      <c r="E161" s="191">
        <v>0</v>
      </c>
      <c r="F161" s="193">
        <v>4912.6499999999996</v>
      </c>
      <c r="G161" s="193">
        <v>11382.48</v>
      </c>
      <c r="H161" s="191">
        <v>0</v>
      </c>
      <c r="I161" s="193">
        <v>3803.32</v>
      </c>
      <c r="J161" s="193">
        <v>6198.56</v>
      </c>
      <c r="K161" s="193">
        <v>2617.62</v>
      </c>
      <c r="L161" s="193">
        <v>11938.87</v>
      </c>
      <c r="M161" s="191">
        <v>0</v>
      </c>
      <c r="N161" s="193">
        <v>6553.98</v>
      </c>
      <c r="O161" s="193">
        <v>7352.9</v>
      </c>
      <c r="P161" s="193">
        <v>7764.62</v>
      </c>
    </row>
    <row r="162" spans="1:16" x14ac:dyDescent="0.25">
      <c r="A162" s="190">
        <v>801010402</v>
      </c>
      <c r="B162" s="190" t="s">
        <v>426</v>
      </c>
      <c r="C162" s="190">
        <v>1412</v>
      </c>
      <c r="D162" s="190" t="s">
        <v>408</v>
      </c>
      <c r="E162" s="191">
        <v>0</v>
      </c>
      <c r="F162" s="193">
        <v>12295.7</v>
      </c>
      <c r="G162" s="193">
        <v>28725.22</v>
      </c>
      <c r="H162" s="191">
        <v>0</v>
      </c>
      <c r="I162" s="193">
        <v>14470.15</v>
      </c>
      <c r="J162" s="193">
        <v>21801.69</v>
      </c>
      <c r="K162" s="193">
        <v>13186.78</v>
      </c>
      <c r="L162" s="193">
        <v>27179.75</v>
      </c>
      <c r="M162" s="191">
        <v>0</v>
      </c>
      <c r="N162" s="193">
        <v>15728.72</v>
      </c>
      <c r="O162" s="193">
        <v>15844.92</v>
      </c>
      <c r="P162" s="193">
        <v>17619</v>
      </c>
    </row>
    <row r="163" spans="1:16" x14ac:dyDescent="0.25">
      <c r="A163" s="190">
        <v>801010402</v>
      </c>
      <c r="B163" s="190" t="s">
        <v>427</v>
      </c>
      <c r="C163" s="190">
        <v>1412</v>
      </c>
      <c r="D163" s="190" t="s">
        <v>408</v>
      </c>
      <c r="E163" s="191">
        <v>0</v>
      </c>
      <c r="F163" s="193">
        <v>8322.0300000000007</v>
      </c>
      <c r="G163" s="193">
        <v>16349.66</v>
      </c>
      <c r="H163" s="191">
        <v>0</v>
      </c>
      <c r="I163" s="193">
        <v>7832.83</v>
      </c>
      <c r="J163" s="193">
        <v>9738.7800000000007</v>
      </c>
      <c r="K163" s="193">
        <v>13197.91</v>
      </c>
      <c r="L163" s="193">
        <v>17444.95</v>
      </c>
      <c r="M163" s="191">
        <v>0</v>
      </c>
      <c r="N163" s="193">
        <v>10408.700000000001</v>
      </c>
      <c r="O163" s="193">
        <v>10480.02</v>
      </c>
      <c r="P163" s="193">
        <v>11839.88</v>
      </c>
    </row>
    <row r="164" spans="1:16" x14ac:dyDescent="0.25">
      <c r="A164" s="190">
        <v>801010402</v>
      </c>
      <c r="B164" s="190" t="s">
        <v>428</v>
      </c>
      <c r="C164" s="190">
        <v>1412</v>
      </c>
      <c r="D164" s="190" t="s">
        <v>408</v>
      </c>
      <c r="E164" s="191">
        <v>0</v>
      </c>
      <c r="F164" s="193">
        <v>11683.46</v>
      </c>
      <c r="G164" s="193">
        <v>23288.57</v>
      </c>
      <c r="H164" s="191">
        <v>0</v>
      </c>
      <c r="I164" s="193">
        <v>10946.21</v>
      </c>
      <c r="J164" s="193">
        <v>11111.57</v>
      </c>
      <c r="K164" s="193">
        <v>20925.689999999999</v>
      </c>
      <c r="L164" s="193">
        <v>23685.29</v>
      </c>
      <c r="M164" s="191">
        <v>0</v>
      </c>
      <c r="N164" s="193">
        <v>13818.6</v>
      </c>
      <c r="O164" s="193">
        <v>14203.56</v>
      </c>
      <c r="P164" s="193">
        <v>15813.18</v>
      </c>
    </row>
    <row r="165" spans="1:16" x14ac:dyDescent="0.25">
      <c r="A165" s="190">
        <v>801010402</v>
      </c>
      <c r="B165" s="190" t="s">
        <v>429</v>
      </c>
      <c r="C165" s="190">
        <v>1412</v>
      </c>
      <c r="D165" s="190" t="s">
        <v>408</v>
      </c>
      <c r="E165" s="191">
        <v>0</v>
      </c>
      <c r="F165" s="193">
        <v>6407.82</v>
      </c>
      <c r="G165" s="193">
        <v>13564.15</v>
      </c>
      <c r="H165" s="191">
        <v>0</v>
      </c>
      <c r="I165" s="193">
        <v>6819.97</v>
      </c>
      <c r="J165" s="193">
        <v>6819.97</v>
      </c>
      <c r="K165" s="193">
        <v>13176.64</v>
      </c>
      <c r="L165" s="193">
        <v>12665.72</v>
      </c>
      <c r="M165" s="191">
        <v>0</v>
      </c>
      <c r="N165" s="193">
        <v>6720.86</v>
      </c>
      <c r="O165" s="193">
        <v>6913.45</v>
      </c>
      <c r="P165" s="193">
        <v>8251.1200000000008</v>
      </c>
    </row>
    <row r="166" spans="1:16" x14ac:dyDescent="0.25">
      <c r="A166" s="190">
        <v>801010402</v>
      </c>
      <c r="B166" s="190" t="s">
        <v>430</v>
      </c>
      <c r="C166" s="190">
        <v>1412</v>
      </c>
      <c r="D166" s="190" t="s">
        <v>408</v>
      </c>
      <c r="E166" s="191">
        <v>0</v>
      </c>
      <c r="F166" s="193">
        <v>8596.66</v>
      </c>
      <c r="G166" s="193">
        <v>18405.98</v>
      </c>
      <c r="H166" s="191">
        <v>0</v>
      </c>
      <c r="I166" s="193">
        <v>8119.97</v>
      </c>
      <c r="J166" s="193">
        <v>8119.96</v>
      </c>
      <c r="K166" s="193">
        <v>16454.47</v>
      </c>
      <c r="L166" s="193">
        <v>18463.47</v>
      </c>
      <c r="M166" s="191">
        <v>0</v>
      </c>
      <c r="N166" s="193">
        <v>11863.88</v>
      </c>
      <c r="O166" s="193">
        <v>11785.41</v>
      </c>
      <c r="P166" s="193">
        <v>13120.99</v>
      </c>
    </row>
    <row r="167" spans="1:16" x14ac:dyDescent="0.25">
      <c r="A167" s="190">
        <v>801010402</v>
      </c>
      <c r="B167" s="190" t="s">
        <v>431</v>
      </c>
      <c r="C167" s="190">
        <v>1412</v>
      </c>
      <c r="D167" s="190" t="s">
        <v>408</v>
      </c>
      <c r="E167" s="191">
        <v>0</v>
      </c>
      <c r="F167" s="193">
        <v>9292.56</v>
      </c>
      <c r="G167" s="193">
        <v>19095</v>
      </c>
      <c r="H167" s="191">
        <v>0</v>
      </c>
      <c r="I167" s="193">
        <v>9127.2000000000007</v>
      </c>
      <c r="J167" s="193">
        <v>9127.2000000000007</v>
      </c>
      <c r="K167" s="193">
        <v>17340.32</v>
      </c>
      <c r="L167" s="193">
        <v>19319.439999999999</v>
      </c>
      <c r="M167" s="191">
        <v>0</v>
      </c>
      <c r="N167" s="193">
        <v>12570.05</v>
      </c>
      <c r="O167" s="193">
        <v>12562.92</v>
      </c>
      <c r="P167" s="193">
        <v>14011.81</v>
      </c>
    </row>
    <row r="168" spans="1:16" x14ac:dyDescent="0.25">
      <c r="A168" s="190">
        <v>801010402</v>
      </c>
      <c r="B168" s="190" t="s">
        <v>432</v>
      </c>
      <c r="C168" s="190">
        <v>1412</v>
      </c>
      <c r="D168" s="190" t="s">
        <v>408</v>
      </c>
      <c r="E168" s="191">
        <v>0</v>
      </c>
      <c r="F168" s="193">
        <v>12383.4</v>
      </c>
      <c r="G168" s="193">
        <v>26082.83</v>
      </c>
      <c r="H168" s="191">
        <v>0</v>
      </c>
      <c r="I168" s="193">
        <v>13685.65</v>
      </c>
      <c r="J168" s="193">
        <v>13706.29</v>
      </c>
      <c r="K168" s="193">
        <v>24727.93</v>
      </c>
      <c r="L168" s="193">
        <v>28356.01</v>
      </c>
      <c r="M168" s="191">
        <v>0</v>
      </c>
      <c r="N168" s="193">
        <v>16232.36</v>
      </c>
      <c r="O168" s="193">
        <v>16453.46</v>
      </c>
      <c r="P168" s="193">
        <v>17995.919999999998</v>
      </c>
    </row>
    <row r="169" spans="1:16" x14ac:dyDescent="0.25">
      <c r="A169" s="190">
        <v>801010402</v>
      </c>
      <c r="B169" s="190" t="s">
        <v>433</v>
      </c>
      <c r="C169" s="190">
        <v>1412</v>
      </c>
      <c r="D169" s="190" t="s">
        <v>408</v>
      </c>
      <c r="E169" s="191">
        <v>0</v>
      </c>
      <c r="F169" s="193">
        <v>6760.97</v>
      </c>
      <c r="G169" s="193">
        <v>13732.64</v>
      </c>
      <c r="H169" s="191">
        <v>0</v>
      </c>
      <c r="I169" s="193">
        <v>7848.35</v>
      </c>
      <c r="J169" s="193">
        <v>7848.35</v>
      </c>
      <c r="K169" s="193">
        <v>14231.72</v>
      </c>
      <c r="L169" s="193">
        <v>8285.35</v>
      </c>
      <c r="M169" s="191">
        <v>0</v>
      </c>
      <c r="N169" s="193">
        <v>10596.5</v>
      </c>
      <c r="O169" s="193">
        <v>10596.48</v>
      </c>
      <c r="P169" s="193">
        <v>10596.5</v>
      </c>
    </row>
    <row r="170" spans="1:16" x14ac:dyDescent="0.25">
      <c r="A170" s="190">
        <v>801010402</v>
      </c>
      <c r="B170" s="190" t="s">
        <v>434</v>
      </c>
      <c r="C170" s="190">
        <v>1412</v>
      </c>
      <c r="D170" s="190" t="s">
        <v>408</v>
      </c>
      <c r="E170" s="191">
        <v>0</v>
      </c>
      <c r="F170" s="193">
        <v>5488.01</v>
      </c>
      <c r="G170" s="193">
        <v>11907.1</v>
      </c>
      <c r="H170" s="191">
        <v>0</v>
      </c>
      <c r="I170" s="193">
        <v>5684.83</v>
      </c>
      <c r="J170" s="193">
        <v>5684.83</v>
      </c>
      <c r="K170" s="193">
        <v>10746.6</v>
      </c>
      <c r="L170" s="193">
        <v>13417.83</v>
      </c>
      <c r="M170" s="191">
        <v>0</v>
      </c>
      <c r="N170" s="193">
        <v>8620.61</v>
      </c>
      <c r="O170" s="193">
        <v>8542.14</v>
      </c>
      <c r="P170" s="193">
        <v>8542.14</v>
      </c>
    </row>
    <row r="171" spans="1:16" x14ac:dyDescent="0.25">
      <c r="A171" s="190">
        <v>801010402</v>
      </c>
      <c r="B171" s="190" t="s">
        <v>435</v>
      </c>
      <c r="C171" s="190">
        <v>1412</v>
      </c>
      <c r="D171" s="190" t="s">
        <v>408</v>
      </c>
      <c r="E171" s="191">
        <v>0</v>
      </c>
      <c r="F171" s="193">
        <v>4507.59</v>
      </c>
      <c r="G171" s="193">
        <v>2429.5700000000002</v>
      </c>
      <c r="H171" s="191">
        <v>0</v>
      </c>
      <c r="I171" s="193">
        <v>2526.0300000000002</v>
      </c>
      <c r="J171" s="193">
        <v>2818.52</v>
      </c>
      <c r="K171" s="193">
        <v>5678.59</v>
      </c>
      <c r="L171" s="193">
        <v>6384.52</v>
      </c>
      <c r="M171" s="191">
        <v>0</v>
      </c>
      <c r="N171" s="193">
        <v>4219.42</v>
      </c>
      <c r="O171" s="193">
        <v>4247.96</v>
      </c>
      <c r="P171" s="193">
        <v>4247.96</v>
      </c>
    </row>
    <row r="172" spans="1:16" x14ac:dyDescent="0.25">
      <c r="A172" s="190">
        <v>801010402</v>
      </c>
      <c r="B172" s="190" t="s">
        <v>436</v>
      </c>
      <c r="C172" s="190">
        <v>1412</v>
      </c>
      <c r="D172" s="190" t="s">
        <v>408</v>
      </c>
      <c r="E172" s="191">
        <v>0</v>
      </c>
      <c r="F172" s="193">
        <v>5498.8</v>
      </c>
      <c r="G172" s="193">
        <v>11299.22</v>
      </c>
      <c r="H172" s="191">
        <v>0</v>
      </c>
      <c r="I172" s="193">
        <v>5753.74</v>
      </c>
      <c r="J172" s="193">
        <v>5753.74</v>
      </c>
      <c r="K172" s="193">
        <v>10903.03</v>
      </c>
      <c r="L172" s="193">
        <v>12102.23</v>
      </c>
      <c r="M172" s="191">
        <v>0</v>
      </c>
      <c r="N172" s="193">
        <v>7215.37</v>
      </c>
      <c r="O172" s="193">
        <v>6915.76</v>
      </c>
      <c r="P172" s="193">
        <v>6915.78</v>
      </c>
    </row>
    <row r="173" spans="1:16" x14ac:dyDescent="0.25">
      <c r="A173" s="190">
        <v>801010402</v>
      </c>
      <c r="B173" s="190" t="s">
        <v>437</v>
      </c>
      <c r="C173" s="190">
        <v>1412</v>
      </c>
      <c r="D173" s="190" t="s">
        <v>408</v>
      </c>
      <c r="E173" s="191">
        <v>0</v>
      </c>
      <c r="F173" s="193">
        <v>5687.49</v>
      </c>
      <c r="G173" s="193">
        <v>12664.35</v>
      </c>
      <c r="H173" s="191">
        <v>0</v>
      </c>
      <c r="I173" s="193">
        <v>6423.26</v>
      </c>
      <c r="J173" s="193">
        <v>6373.82</v>
      </c>
      <c r="K173" s="193">
        <v>15308.15</v>
      </c>
      <c r="L173" s="193">
        <v>14844.24</v>
      </c>
      <c r="M173" s="191">
        <v>0</v>
      </c>
      <c r="N173" s="193">
        <v>7671.7</v>
      </c>
      <c r="O173" s="193">
        <v>7772.98</v>
      </c>
      <c r="P173" s="193">
        <v>12576.26</v>
      </c>
    </row>
    <row r="174" spans="1:16" x14ac:dyDescent="0.25">
      <c r="A174" s="190">
        <v>801010402</v>
      </c>
      <c r="B174" s="190" t="s">
        <v>407</v>
      </c>
      <c r="C174" s="190">
        <v>1413</v>
      </c>
      <c r="D174" s="190" t="s">
        <v>408</v>
      </c>
      <c r="E174" s="191">
        <v>0</v>
      </c>
      <c r="F174" s="193">
        <v>37390.400000000001</v>
      </c>
      <c r="G174" s="193">
        <v>77256.27</v>
      </c>
      <c r="H174" s="193">
        <v>39444.92</v>
      </c>
      <c r="I174" s="193">
        <v>41378.519999999997</v>
      </c>
      <c r="J174" s="193">
        <v>41446.019999999997</v>
      </c>
      <c r="K174" s="193">
        <v>21822.77</v>
      </c>
      <c r="L174" s="193">
        <v>78260.639999999999</v>
      </c>
      <c r="M174" s="193">
        <v>26028.53</v>
      </c>
      <c r="N174" s="193">
        <v>55005.65</v>
      </c>
      <c r="O174" s="193">
        <v>54756.78</v>
      </c>
      <c r="P174" s="193">
        <v>54828.41</v>
      </c>
    </row>
    <row r="175" spans="1:16" x14ac:dyDescent="0.25">
      <c r="A175" s="190">
        <v>801010402</v>
      </c>
      <c r="B175" s="190" t="s">
        <v>410</v>
      </c>
      <c r="C175" s="190">
        <v>1413</v>
      </c>
      <c r="D175" s="190" t="s">
        <v>408</v>
      </c>
      <c r="E175" s="191">
        <v>0</v>
      </c>
      <c r="F175" s="193">
        <v>7212.06</v>
      </c>
      <c r="G175" s="193">
        <v>17964.650000000001</v>
      </c>
      <c r="H175" s="193">
        <v>8950.92</v>
      </c>
      <c r="I175" s="193">
        <v>8800.7999999999993</v>
      </c>
      <c r="J175" s="193">
        <v>8800.7999999999993</v>
      </c>
      <c r="K175" s="193">
        <v>4406.25</v>
      </c>
      <c r="L175" s="193">
        <v>20264.689999999999</v>
      </c>
      <c r="M175" s="191">
        <v>0</v>
      </c>
      <c r="N175" s="193">
        <v>11608.87</v>
      </c>
      <c r="O175" s="193">
        <v>11743.22</v>
      </c>
      <c r="P175" s="193">
        <v>13679.82</v>
      </c>
    </row>
    <row r="176" spans="1:16" x14ac:dyDescent="0.25">
      <c r="A176" s="190">
        <v>801010402</v>
      </c>
      <c r="B176" s="190" t="s">
        <v>411</v>
      </c>
      <c r="C176" s="190">
        <v>1413</v>
      </c>
      <c r="D176" s="190" t="s">
        <v>408</v>
      </c>
      <c r="E176" s="191">
        <v>0</v>
      </c>
      <c r="F176" s="193">
        <v>8147.6</v>
      </c>
      <c r="G176" s="193">
        <v>15509.13</v>
      </c>
      <c r="H176" s="193">
        <v>8043.79</v>
      </c>
      <c r="I176" s="193">
        <v>7870.77</v>
      </c>
      <c r="J176" s="193">
        <v>7957.29</v>
      </c>
      <c r="K176" s="193">
        <v>4021.9</v>
      </c>
      <c r="L176" s="193">
        <v>21287.81</v>
      </c>
      <c r="M176" s="191">
        <v>0</v>
      </c>
      <c r="N176" s="193">
        <v>11184.4</v>
      </c>
      <c r="O176" s="193">
        <v>11184.4</v>
      </c>
      <c r="P176" s="193">
        <v>12796.96</v>
      </c>
    </row>
    <row r="177" spans="1:16" x14ac:dyDescent="0.25">
      <c r="A177" s="190">
        <v>801010402</v>
      </c>
      <c r="B177" s="190" t="s">
        <v>412</v>
      </c>
      <c r="C177" s="190">
        <v>1413</v>
      </c>
      <c r="D177" s="190" t="s">
        <v>408</v>
      </c>
      <c r="E177" s="191">
        <v>0</v>
      </c>
      <c r="F177" s="193">
        <v>10040.94</v>
      </c>
      <c r="G177" s="193">
        <v>21474.69</v>
      </c>
      <c r="H177" s="191">
        <v>0</v>
      </c>
      <c r="I177" s="193">
        <v>20350.060000000001</v>
      </c>
      <c r="J177" s="193">
        <v>10075.540000000001</v>
      </c>
      <c r="K177" s="193">
        <v>5063.7299999999996</v>
      </c>
      <c r="L177" s="193">
        <v>21487.3</v>
      </c>
      <c r="M177" s="191">
        <v>0</v>
      </c>
      <c r="N177" s="193">
        <v>12620.9</v>
      </c>
      <c r="O177" s="193">
        <v>12638.82</v>
      </c>
      <c r="P177" s="193">
        <v>14141.27</v>
      </c>
    </row>
    <row r="178" spans="1:16" x14ac:dyDescent="0.25">
      <c r="A178" s="190">
        <v>801010402</v>
      </c>
      <c r="B178" s="190" t="s">
        <v>413</v>
      </c>
      <c r="C178" s="190">
        <v>1413</v>
      </c>
      <c r="D178" s="190" t="s">
        <v>408</v>
      </c>
      <c r="E178" s="191">
        <v>0</v>
      </c>
      <c r="F178" s="193">
        <v>8492.41</v>
      </c>
      <c r="G178" s="193">
        <v>18343.03</v>
      </c>
      <c r="H178" s="191">
        <v>0</v>
      </c>
      <c r="I178" s="193">
        <v>17728.810000000001</v>
      </c>
      <c r="J178" s="193">
        <v>8864.41</v>
      </c>
      <c r="K178" s="193">
        <v>4042.91</v>
      </c>
      <c r="L178" s="193">
        <v>20265.88</v>
      </c>
      <c r="M178" s="191">
        <v>0</v>
      </c>
      <c r="N178" s="193">
        <v>9925.1200000000008</v>
      </c>
      <c r="O178" s="193">
        <v>9799.73</v>
      </c>
      <c r="P178" s="193">
        <v>11177.19</v>
      </c>
    </row>
    <row r="179" spans="1:16" x14ac:dyDescent="0.25">
      <c r="A179" s="190">
        <v>801010402</v>
      </c>
      <c r="B179" s="190" t="s">
        <v>414</v>
      </c>
      <c r="C179" s="190">
        <v>1413</v>
      </c>
      <c r="D179" s="190" t="s">
        <v>408</v>
      </c>
      <c r="E179" s="191">
        <v>0</v>
      </c>
      <c r="F179" s="193">
        <v>9312.4</v>
      </c>
      <c r="G179" s="193">
        <v>20369.349999999999</v>
      </c>
      <c r="H179" s="191">
        <v>0</v>
      </c>
      <c r="I179" s="193">
        <v>20237.32</v>
      </c>
      <c r="J179" s="193">
        <v>9998.92</v>
      </c>
      <c r="K179" s="193">
        <v>5115.63</v>
      </c>
      <c r="L179" s="193">
        <v>25591</v>
      </c>
      <c r="M179" s="191">
        <v>0</v>
      </c>
      <c r="N179" s="193">
        <v>13731.46</v>
      </c>
      <c r="O179" s="193">
        <v>13785.2</v>
      </c>
      <c r="P179" s="193">
        <v>14932.47</v>
      </c>
    </row>
    <row r="180" spans="1:16" x14ac:dyDescent="0.25">
      <c r="A180" s="190">
        <v>801010402</v>
      </c>
      <c r="B180" s="190" t="s">
        <v>415</v>
      </c>
      <c r="C180" s="190">
        <v>1413</v>
      </c>
      <c r="D180" s="190" t="s">
        <v>408</v>
      </c>
      <c r="E180" s="191">
        <v>0</v>
      </c>
      <c r="F180" s="193">
        <v>7013.35</v>
      </c>
      <c r="G180" s="193">
        <v>13774.4</v>
      </c>
      <c r="H180" s="191">
        <v>0</v>
      </c>
      <c r="I180" s="193">
        <v>13931.54</v>
      </c>
      <c r="J180" s="193">
        <v>6658.66</v>
      </c>
      <c r="K180" s="193">
        <v>3316.35</v>
      </c>
      <c r="L180" s="193">
        <v>17609.060000000001</v>
      </c>
      <c r="M180" s="191">
        <v>0</v>
      </c>
      <c r="N180" s="193">
        <v>9889.56</v>
      </c>
      <c r="O180" s="193">
        <v>10113.459999999999</v>
      </c>
      <c r="P180" s="193">
        <v>10394.41</v>
      </c>
    </row>
    <row r="181" spans="1:16" x14ac:dyDescent="0.25">
      <c r="A181" s="190">
        <v>801010402</v>
      </c>
      <c r="B181" s="190" t="s">
        <v>416</v>
      </c>
      <c r="C181" s="190">
        <v>1413</v>
      </c>
      <c r="D181" s="190" t="s">
        <v>408</v>
      </c>
      <c r="E181" s="191">
        <v>0</v>
      </c>
      <c r="F181" s="193">
        <v>9175.84</v>
      </c>
      <c r="G181" s="193">
        <v>19220.68</v>
      </c>
      <c r="H181" s="191">
        <v>0</v>
      </c>
      <c r="I181" s="193">
        <v>18978.45</v>
      </c>
      <c r="J181" s="193">
        <v>9366.16</v>
      </c>
      <c r="K181" s="193">
        <v>4683.08</v>
      </c>
      <c r="L181" s="193">
        <v>23347.31</v>
      </c>
      <c r="M181" s="191">
        <v>0</v>
      </c>
      <c r="N181" s="193">
        <v>12495.52</v>
      </c>
      <c r="O181" s="193">
        <v>12808.99</v>
      </c>
      <c r="P181" s="193">
        <v>14781.05</v>
      </c>
    </row>
    <row r="182" spans="1:16" x14ac:dyDescent="0.25">
      <c r="A182" s="190">
        <v>801010402</v>
      </c>
      <c r="B182" s="190" t="s">
        <v>417</v>
      </c>
      <c r="C182" s="190">
        <v>1413</v>
      </c>
      <c r="D182" s="190" t="s">
        <v>408</v>
      </c>
      <c r="E182" s="191">
        <v>0</v>
      </c>
      <c r="F182" s="193">
        <v>12392.78</v>
      </c>
      <c r="G182" s="193">
        <v>25608.639999999999</v>
      </c>
      <c r="H182" s="191">
        <v>0</v>
      </c>
      <c r="I182" s="193">
        <v>27034.83</v>
      </c>
      <c r="J182" s="193">
        <v>13837.5</v>
      </c>
      <c r="K182" s="193">
        <v>6918.75</v>
      </c>
      <c r="L182" s="193">
        <v>34914.46</v>
      </c>
      <c r="M182" s="191">
        <v>0</v>
      </c>
      <c r="N182" s="193">
        <v>16618.84</v>
      </c>
      <c r="O182" s="193">
        <v>16206.85</v>
      </c>
      <c r="P182" s="193">
        <v>18080.18</v>
      </c>
    </row>
    <row r="183" spans="1:16" x14ac:dyDescent="0.25">
      <c r="A183" s="190">
        <v>801010402</v>
      </c>
      <c r="B183" s="190" t="s">
        <v>419</v>
      </c>
      <c r="C183" s="190">
        <v>1413</v>
      </c>
      <c r="D183" s="190" t="s">
        <v>408</v>
      </c>
      <c r="E183" s="191">
        <v>0</v>
      </c>
      <c r="F183" s="193">
        <v>12644.9</v>
      </c>
      <c r="G183" s="193">
        <v>25410.91</v>
      </c>
      <c r="H183" s="191">
        <v>0</v>
      </c>
      <c r="I183" s="193">
        <v>24243.02</v>
      </c>
      <c r="J183" s="193">
        <v>12117.18</v>
      </c>
      <c r="K183" s="193">
        <v>6058.59</v>
      </c>
      <c r="L183" s="193">
        <v>28780.799999999999</v>
      </c>
      <c r="M183" s="191">
        <v>0</v>
      </c>
      <c r="N183" s="193">
        <v>13695.64</v>
      </c>
      <c r="O183" s="193">
        <v>13828.29</v>
      </c>
      <c r="P183" s="193">
        <v>15632.48</v>
      </c>
    </row>
    <row r="184" spans="1:16" x14ac:dyDescent="0.25">
      <c r="A184" s="190">
        <v>801010402</v>
      </c>
      <c r="B184" s="190" t="s">
        <v>420</v>
      </c>
      <c r="C184" s="190">
        <v>1413</v>
      </c>
      <c r="D184" s="190" t="s">
        <v>408</v>
      </c>
      <c r="E184" s="191">
        <v>0</v>
      </c>
      <c r="F184" s="193">
        <v>15771.74</v>
      </c>
      <c r="G184" s="193">
        <v>31967.39</v>
      </c>
      <c r="H184" s="191">
        <v>0</v>
      </c>
      <c r="I184" s="193">
        <v>14750.92</v>
      </c>
      <c r="J184" s="193">
        <v>14785.53</v>
      </c>
      <c r="K184" s="193">
        <v>7388.44</v>
      </c>
      <c r="L184" s="193">
        <v>36028.300000000003</v>
      </c>
      <c r="M184" s="191">
        <v>0</v>
      </c>
      <c r="N184" s="193">
        <v>17634.62</v>
      </c>
      <c r="O184" s="193">
        <v>17903.310000000001</v>
      </c>
      <c r="P184" s="193">
        <v>20299.2</v>
      </c>
    </row>
    <row r="185" spans="1:16" x14ac:dyDescent="0.25">
      <c r="A185" s="190">
        <v>801010402</v>
      </c>
      <c r="B185" s="190" t="s">
        <v>421</v>
      </c>
      <c r="C185" s="190">
        <v>1413</v>
      </c>
      <c r="D185" s="190" t="s">
        <v>408</v>
      </c>
      <c r="E185" s="191">
        <v>0</v>
      </c>
      <c r="F185" s="193">
        <v>10352.36</v>
      </c>
      <c r="G185" s="193">
        <v>21137.3</v>
      </c>
      <c r="H185" s="191">
        <v>0</v>
      </c>
      <c r="I185" s="193">
        <v>10386.98</v>
      </c>
      <c r="J185" s="193">
        <v>15424.75</v>
      </c>
      <c r="K185" s="193">
        <v>5193.49</v>
      </c>
      <c r="L185" s="193">
        <v>26745.16</v>
      </c>
      <c r="M185" s="191">
        <v>0</v>
      </c>
      <c r="N185" s="193">
        <v>12853.76</v>
      </c>
      <c r="O185" s="193">
        <v>12862.71</v>
      </c>
      <c r="P185" s="193">
        <v>14726.74</v>
      </c>
    </row>
    <row r="186" spans="1:16" x14ac:dyDescent="0.25">
      <c r="A186" s="190">
        <v>801010402</v>
      </c>
      <c r="B186" s="190" t="s">
        <v>422</v>
      </c>
      <c r="C186" s="190">
        <v>1413</v>
      </c>
      <c r="D186" s="190" t="s">
        <v>408</v>
      </c>
      <c r="E186" s="191">
        <v>0</v>
      </c>
      <c r="F186" s="193">
        <v>13648.41</v>
      </c>
      <c r="G186" s="193">
        <v>27971.599999999999</v>
      </c>
      <c r="H186" s="191">
        <v>0</v>
      </c>
      <c r="I186" s="193">
        <v>13259.11</v>
      </c>
      <c r="J186" s="193">
        <v>19784.86</v>
      </c>
      <c r="K186" s="193">
        <v>6543.05</v>
      </c>
      <c r="L186" s="193">
        <v>32628.91</v>
      </c>
      <c r="M186" s="191">
        <v>0</v>
      </c>
      <c r="N186" s="193">
        <v>18227.43</v>
      </c>
      <c r="O186" s="193">
        <v>18549.86</v>
      </c>
      <c r="P186" s="193">
        <v>19372.29</v>
      </c>
    </row>
    <row r="187" spans="1:16" x14ac:dyDescent="0.25">
      <c r="A187" s="190">
        <v>801010402</v>
      </c>
      <c r="B187" s="190" t="s">
        <v>423</v>
      </c>
      <c r="C187" s="190">
        <v>1413</v>
      </c>
      <c r="D187" s="190" t="s">
        <v>408</v>
      </c>
      <c r="E187" s="191">
        <v>0</v>
      </c>
      <c r="F187" s="193">
        <v>8518.3700000000008</v>
      </c>
      <c r="G187" s="193">
        <v>17228.64</v>
      </c>
      <c r="H187" s="191">
        <v>0</v>
      </c>
      <c r="I187" s="193">
        <v>8362.65</v>
      </c>
      <c r="J187" s="193">
        <v>12543.97</v>
      </c>
      <c r="K187" s="193">
        <v>4181.32</v>
      </c>
      <c r="L187" s="193">
        <v>21581.83</v>
      </c>
      <c r="M187" s="191">
        <v>0</v>
      </c>
      <c r="N187" s="193">
        <v>11886.5</v>
      </c>
      <c r="O187" s="193">
        <v>11976.07</v>
      </c>
      <c r="P187" s="193">
        <v>14088.35</v>
      </c>
    </row>
    <row r="188" spans="1:16" x14ac:dyDescent="0.25">
      <c r="A188" s="190">
        <v>801010402</v>
      </c>
      <c r="B188" s="190" t="s">
        <v>424</v>
      </c>
      <c r="C188" s="190">
        <v>1413</v>
      </c>
      <c r="D188" s="190" t="s">
        <v>408</v>
      </c>
      <c r="E188" s="191">
        <v>0</v>
      </c>
      <c r="F188" s="193">
        <v>12070.34</v>
      </c>
      <c r="G188" s="193">
        <v>27771.64</v>
      </c>
      <c r="H188" s="191">
        <v>0</v>
      </c>
      <c r="I188" s="193">
        <v>13427.32</v>
      </c>
      <c r="J188" s="193">
        <v>20296.689999999999</v>
      </c>
      <c r="K188" s="193">
        <v>6791.52</v>
      </c>
      <c r="L188" s="193">
        <v>33199.519999999997</v>
      </c>
      <c r="M188" s="191">
        <v>0</v>
      </c>
      <c r="N188" s="193">
        <v>21435.81</v>
      </c>
      <c r="O188" s="193">
        <v>22412.02</v>
      </c>
      <c r="P188" s="193">
        <v>23949.13</v>
      </c>
    </row>
    <row r="189" spans="1:16" x14ac:dyDescent="0.25">
      <c r="A189" s="190">
        <v>801010402</v>
      </c>
      <c r="B189" s="190" t="s">
        <v>425</v>
      </c>
      <c r="C189" s="190">
        <v>1413</v>
      </c>
      <c r="D189" s="190" t="s">
        <v>408</v>
      </c>
      <c r="E189" s="191">
        <v>0</v>
      </c>
      <c r="F189" s="193">
        <v>6168.1</v>
      </c>
      <c r="G189" s="193">
        <v>14291.34</v>
      </c>
      <c r="H189" s="191">
        <v>0</v>
      </c>
      <c r="I189" s="193">
        <v>4775.28</v>
      </c>
      <c r="J189" s="193">
        <v>7782.64</v>
      </c>
      <c r="K189" s="193">
        <v>3286.56</v>
      </c>
      <c r="L189" s="193">
        <v>14989.92</v>
      </c>
      <c r="M189" s="191">
        <v>0</v>
      </c>
      <c r="N189" s="193">
        <v>8228.91</v>
      </c>
      <c r="O189" s="193">
        <v>9231.98</v>
      </c>
      <c r="P189" s="193">
        <v>9748.92</v>
      </c>
    </row>
    <row r="190" spans="1:16" x14ac:dyDescent="0.25">
      <c r="A190" s="190">
        <v>801010402</v>
      </c>
      <c r="B190" s="190" t="s">
        <v>426</v>
      </c>
      <c r="C190" s="190">
        <v>1413</v>
      </c>
      <c r="D190" s="190" t="s">
        <v>408</v>
      </c>
      <c r="E190" s="191">
        <v>0</v>
      </c>
      <c r="F190" s="193">
        <v>15437.93</v>
      </c>
      <c r="G190" s="193">
        <v>36066.11</v>
      </c>
      <c r="H190" s="191">
        <v>0</v>
      </c>
      <c r="I190" s="193">
        <v>18168.080000000002</v>
      </c>
      <c r="J190" s="193">
        <v>27373.23</v>
      </c>
      <c r="K190" s="193">
        <v>24105.68</v>
      </c>
      <c r="L190" s="193">
        <v>31973.42</v>
      </c>
      <c r="M190" s="191">
        <v>0</v>
      </c>
      <c r="N190" s="193">
        <v>19748.27</v>
      </c>
      <c r="O190" s="193">
        <v>19894.169999999998</v>
      </c>
      <c r="P190" s="193">
        <v>22121.63</v>
      </c>
    </row>
    <row r="191" spans="1:16" x14ac:dyDescent="0.25">
      <c r="A191" s="190">
        <v>801010402</v>
      </c>
      <c r="B191" s="190" t="s">
        <v>427</v>
      </c>
      <c r="C191" s="190">
        <v>1413</v>
      </c>
      <c r="D191" s="190" t="s">
        <v>408</v>
      </c>
      <c r="E191" s="191">
        <v>0</v>
      </c>
      <c r="F191" s="193">
        <v>10448.77</v>
      </c>
      <c r="G191" s="193">
        <v>20897.54</v>
      </c>
      <c r="H191" s="191">
        <v>0</v>
      </c>
      <c r="I191" s="193">
        <v>9834.5499999999993</v>
      </c>
      <c r="J191" s="193">
        <v>9825.9</v>
      </c>
      <c r="K191" s="193">
        <v>18972.39</v>
      </c>
      <c r="L191" s="193">
        <v>21903.1</v>
      </c>
      <c r="M191" s="191">
        <v>0</v>
      </c>
      <c r="N191" s="193">
        <v>13068.72</v>
      </c>
      <c r="O191" s="193">
        <v>13158.28</v>
      </c>
      <c r="P191" s="193">
        <v>14865.63</v>
      </c>
    </row>
    <row r="192" spans="1:16" x14ac:dyDescent="0.25">
      <c r="A192" s="190">
        <v>801010402</v>
      </c>
      <c r="B192" s="190" t="s">
        <v>428</v>
      </c>
      <c r="C192" s="190">
        <v>1413</v>
      </c>
      <c r="D192" s="190" t="s">
        <v>408</v>
      </c>
      <c r="E192" s="191">
        <v>0</v>
      </c>
      <c r="F192" s="193">
        <v>14669.23</v>
      </c>
      <c r="G192" s="193">
        <v>30151.65</v>
      </c>
      <c r="H192" s="191">
        <v>0</v>
      </c>
      <c r="I192" s="193">
        <v>13743.57</v>
      </c>
      <c r="J192" s="193">
        <v>13951.19</v>
      </c>
      <c r="K192" s="193">
        <v>26273.360000000001</v>
      </c>
      <c r="L192" s="193">
        <v>29738.080000000002</v>
      </c>
      <c r="M192" s="191">
        <v>0</v>
      </c>
      <c r="N192" s="193">
        <v>17350.03</v>
      </c>
      <c r="O192" s="193">
        <v>17833.36</v>
      </c>
      <c r="P192" s="193">
        <v>19854.34</v>
      </c>
    </row>
    <row r="193" spans="1:16" x14ac:dyDescent="0.25">
      <c r="A193" s="190">
        <v>801010402</v>
      </c>
      <c r="B193" s="190" t="s">
        <v>429</v>
      </c>
      <c r="C193" s="190">
        <v>1413</v>
      </c>
      <c r="D193" s="190" t="s">
        <v>408</v>
      </c>
      <c r="E193" s="191">
        <v>0</v>
      </c>
      <c r="F193" s="193">
        <v>8045.37</v>
      </c>
      <c r="G193" s="193">
        <v>17030.55</v>
      </c>
      <c r="H193" s="191">
        <v>0</v>
      </c>
      <c r="I193" s="193">
        <v>8562.85</v>
      </c>
      <c r="J193" s="193">
        <v>8562.85</v>
      </c>
      <c r="K193" s="193">
        <v>16544.009999999998</v>
      </c>
      <c r="L193" s="193">
        <v>15902.51</v>
      </c>
      <c r="M193" s="191">
        <v>0</v>
      </c>
      <c r="N193" s="193">
        <v>8438.41</v>
      </c>
      <c r="O193" s="193">
        <v>8680.2199999999993</v>
      </c>
      <c r="P193" s="193">
        <v>10359.74</v>
      </c>
    </row>
    <row r="194" spans="1:16" x14ac:dyDescent="0.25">
      <c r="A194" s="190">
        <v>801010402</v>
      </c>
      <c r="B194" s="190" t="s">
        <v>430</v>
      </c>
      <c r="C194" s="190">
        <v>1413</v>
      </c>
      <c r="D194" s="190" t="s">
        <v>408</v>
      </c>
      <c r="E194" s="191">
        <v>0</v>
      </c>
      <c r="F194" s="193">
        <v>10793.58</v>
      </c>
      <c r="G194" s="193">
        <v>23109.74</v>
      </c>
      <c r="H194" s="191">
        <v>0</v>
      </c>
      <c r="I194" s="193">
        <v>10195.07</v>
      </c>
      <c r="J194" s="193">
        <v>10195.08</v>
      </c>
      <c r="K194" s="193">
        <v>20659.5</v>
      </c>
      <c r="L194" s="193">
        <v>23181.91</v>
      </c>
      <c r="M194" s="191">
        <v>0</v>
      </c>
      <c r="N194" s="193">
        <v>14895.76</v>
      </c>
      <c r="O194" s="193">
        <v>14797.24</v>
      </c>
      <c r="P194" s="193">
        <v>16474.13</v>
      </c>
    </row>
    <row r="195" spans="1:16" x14ac:dyDescent="0.25">
      <c r="A195" s="190">
        <v>801010402</v>
      </c>
      <c r="B195" s="190" t="s">
        <v>431</v>
      </c>
      <c r="C195" s="190">
        <v>1413</v>
      </c>
      <c r="D195" s="190" t="s">
        <v>408</v>
      </c>
      <c r="E195" s="191">
        <v>0</v>
      </c>
      <c r="F195" s="193">
        <v>11667.33</v>
      </c>
      <c r="G195" s="193">
        <v>23974.83</v>
      </c>
      <c r="H195" s="191">
        <v>0</v>
      </c>
      <c r="I195" s="193">
        <v>11459.7</v>
      </c>
      <c r="J195" s="193">
        <v>11459.71</v>
      </c>
      <c r="K195" s="193">
        <v>21771.73</v>
      </c>
      <c r="L195" s="193">
        <v>24256.639999999999</v>
      </c>
      <c r="M195" s="191">
        <v>0</v>
      </c>
      <c r="N195" s="193">
        <v>15782.41</v>
      </c>
      <c r="O195" s="193">
        <v>15773.46</v>
      </c>
      <c r="P195" s="193">
        <v>17592.61</v>
      </c>
    </row>
    <row r="196" spans="1:16" x14ac:dyDescent="0.25">
      <c r="A196" s="190">
        <v>801010402</v>
      </c>
      <c r="B196" s="190" t="s">
        <v>432</v>
      </c>
      <c r="C196" s="190">
        <v>1413</v>
      </c>
      <c r="D196" s="190" t="s">
        <v>408</v>
      </c>
      <c r="E196" s="191">
        <v>0</v>
      </c>
      <c r="F196" s="193">
        <v>15548.05</v>
      </c>
      <c r="G196" s="193">
        <v>32748.44</v>
      </c>
      <c r="H196" s="191">
        <v>0</v>
      </c>
      <c r="I196" s="193">
        <v>17183.09</v>
      </c>
      <c r="J196" s="193">
        <v>17209.009999999998</v>
      </c>
      <c r="K196" s="193">
        <v>31047.29</v>
      </c>
      <c r="L196" s="193">
        <v>35602.550000000003</v>
      </c>
      <c r="M196" s="191">
        <v>0</v>
      </c>
      <c r="N196" s="193">
        <v>20380.63</v>
      </c>
      <c r="O196" s="193">
        <v>20658.259999999998</v>
      </c>
      <c r="P196" s="193">
        <v>22594.880000000001</v>
      </c>
    </row>
    <row r="197" spans="1:16" x14ac:dyDescent="0.25">
      <c r="A197" s="190">
        <v>801010402</v>
      </c>
      <c r="B197" s="190" t="s">
        <v>433</v>
      </c>
      <c r="C197" s="190">
        <v>1413</v>
      </c>
      <c r="D197" s="190" t="s">
        <v>408</v>
      </c>
      <c r="E197" s="191">
        <v>0</v>
      </c>
      <c r="F197" s="193">
        <v>8488.7800000000007</v>
      </c>
      <c r="G197" s="193">
        <v>17579.93</v>
      </c>
      <c r="H197" s="191">
        <v>0</v>
      </c>
      <c r="I197" s="193">
        <v>9854.0400000000009</v>
      </c>
      <c r="J197" s="193">
        <v>9854.0400000000009</v>
      </c>
      <c r="K197" s="193">
        <v>17868.71</v>
      </c>
      <c r="L197" s="193">
        <v>10402.709999999999</v>
      </c>
      <c r="M197" s="191">
        <v>0</v>
      </c>
      <c r="N197" s="193">
        <v>13304.5</v>
      </c>
      <c r="O197" s="193">
        <v>13304.5</v>
      </c>
      <c r="P197" s="193">
        <v>13304.5</v>
      </c>
    </row>
    <row r="198" spans="1:16" x14ac:dyDescent="0.25">
      <c r="A198" s="190">
        <v>801010402</v>
      </c>
      <c r="B198" s="190" t="s">
        <v>434</v>
      </c>
      <c r="C198" s="190">
        <v>1413</v>
      </c>
      <c r="D198" s="190" t="s">
        <v>408</v>
      </c>
      <c r="E198" s="191">
        <v>0</v>
      </c>
      <c r="F198" s="193">
        <v>6890.5</v>
      </c>
      <c r="G198" s="193">
        <v>14950.02</v>
      </c>
      <c r="H198" s="191">
        <v>0</v>
      </c>
      <c r="I198" s="193">
        <v>7137.62</v>
      </c>
      <c r="J198" s="193">
        <v>7137.62</v>
      </c>
      <c r="K198" s="193">
        <v>13492.95</v>
      </c>
      <c r="L198" s="193">
        <v>16846.830000000002</v>
      </c>
      <c r="M198" s="191">
        <v>0</v>
      </c>
      <c r="N198" s="193">
        <v>10823.64</v>
      </c>
      <c r="O198" s="193">
        <v>10725.14</v>
      </c>
      <c r="P198" s="193">
        <v>10725.14</v>
      </c>
    </row>
    <row r="199" spans="1:16" x14ac:dyDescent="0.25">
      <c r="A199" s="190">
        <v>801010402</v>
      </c>
      <c r="B199" s="190" t="s">
        <v>435</v>
      </c>
      <c r="C199" s="190">
        <v>1413</v>
      </c>
      <c r="D199" s="190" t="s">
        <v>408</v>
      </c>
      <c r="E199" s="191">
        <v>0</v>
      </c>
      <c r="F199" s="193">
        <v>5754.88</v>
      </c>
      <c r="G199" s="193">
        <v>3050.45</v>
      </c>
      <c r="H199" s="191">
        <v>0</v>
      </c>
      <c r="I199" s="193">
        <v>3171.57</v>
      </c>
      <c r="J199" s="193">
        <v>3538.81</v>
      </c>
      <c r="K199" s="193">
        <v>7129.78</v>
      </c>
      <c r="L199" s="193">
        <v>3864.76</v>
      </c>
      <c r="M199" s="191">
        <v>0</v>
      </c>
      <c r="N199" s="193">
        <v>5297.74</v>
      </c>
      <c r="O199" s="193">
        <v>5333.56</v>
      </c>
      <c r="P199" s="193">
        <v>5333.56</v>
      </c>
    </row>
    <row r="200" spans="1:16" x14ac:dyDescent="0.25">
      <c r="A200" s="190">
        <v>801010402</v>
      </c>
      <c r="B200" s="190" t="s">
        <v>436</v>
      </c>
      <c r="C200" s="190">
        <v>1413</v>
      </c>
      <c r="D200" s="190" t="s">
        <v>408</v>
      </c>
      <c r="E200" s="191">
        <v>0</v>
      </c>
      <c r="F200" s="193">
        <v>6904.05</v>
      </c>
      <c r="G200" s="193">
        <v>13867.87</v>
      </c>
      <c r="H200" s="191">
        <v>0</v>
      </c>
      <c r="I200" s="193">
        <v>7224.14</v>
      </c>
      <c r="J200" s="193">
        <v>7224.14</v>
      </c>
      <c r="K200" s="193">
        <v>13689.36</v>
      </c>
      <c r="L200" s="193">
        <v>12102.24</v>
      </c>
      <c r="M200" s="191">
        <v>0</v>
      </c>
      <c r="N200" s="193">
        <v>9059.2900000000009</v>
      </c>
      <c r="O200" s="193">
        <v>8683.14</v>
      </c>
      <c r="P200" s="193">
        <v>8683.14</v>
      </c>
    </row>
    <row r="201" spans="1:16" x14ac:dyDescent="0.25">
      <c r="A201" s="190">
        <v>801010402</v>
      </c>
      <c r="B201" s="190" t="s">
        <v>437</v>
      </c>
      <c r="C201" s="190">
        <v>1413</v>
      </c>
      <c r="D201" s="190" t="s">
        <v>408</v>
      </c>
      <c r="E201" s="191">
        <v>0</v>
      </c>
      <c r="F201" s="193">
        <v>7140.96</v>
      </c>
      <c r="G201" s="193">
        <v>15964.39</v>
      </c>
      <c r="H201" s="191">
        <v>0</v>
      </c>
      <c r="I201" s="193">
        <v>8064.76</v>
      </c>
      <c r="J201" s="193">
        <v>8002.68</v>
      </c>
      <c r="K201" s="193">
        <v>19220.23</v>
      </c>
      <c r="L201" s="193">
        <v>13758.07</v>
      </c>
      <c r="M201" s="191">
        <v>0</v>
      </c>
      <c r="N201" s="193">
        <v>9632.26</v>
      </c>
      <c r="O201" s="193">
        <v>9759.4</v>
      </c>
      <c r="P201" s="193">
        <v>15790.19</v>
      </c>
    </row>
    <row r="202" spans="1:16" x14ac:dyDescent="0.25">
      <c r="A202" s="190">
        <v>801010402</v>
      </c>
      <c r="B202" s="190" t="s">
        <v>407</v>
      </c>
      <c r="C202" s="190">
        <v>1414</v>
      </c>
      <c r="D202" s="190" t="s">
        <v>408</v>
      </c>
      <c r="E202" s="191">
        <v>0</v>
      </c>
      <c r="F202" s="191">
        <v>68.97</v>
      </c>
      <c r="G202" s="193">
        <v>6962.96</v>
      </c>
      <c r="H202" s="191">
        <v>73.069999999999993</v>
      </c>
      <c r="I202" s="191">
        <v>830.7</v>
      </c>
      <c r="J202" s="193">
        <v>1050.4100000000001</v>
      </c>
      <c r="K202" s="191">
        <v>83.46</v>
      </c>
      <c r="L202" s="193">
        <v>1202.0899999999999</v>
      </c>
      <c r="M202" s="191">
        <v>419.56</v>
      </c>
      <c r="N202" s="193">
        <v>1057.3699999999999</v>
      </c>
      <c r="O202" s="191">
        <v>682.82</v>
      </c>
      <c r="P202" s="191">
        <v>559.75</v>
      </c>
    </row>
    <row r="203" spans="1:16" x14ac:dyDescent="0.25">
      <c r="A203" s="190">
        <v>801010402</v>
      </c>
      <c r="B203" s="190" t="s">
        <v>410</v>
      </c>
      <c r="C203" s="190">
        <v>1414</v>
      </c>
      <c r="D203" s="190" t="s">
        <v>408</v>
      </c>
      <c r="E203" s="191">
        <v>0</v>
      </c>
      <c r="F203" s="191">
        <v>826.06</v>
      </c>
      <c r="G203" s="193">
        <v>3483.6</v>
      </c>
      <c r="H203" s="193">
        <v>1564.35</v>
      </c>
      <c r="I203" s="193">
        <v>1540.16</v>
      </c>
      <c r="J203" s="193">
        <v>1540.16</v>
      </c>
      <c r="K203" s="193">
        <v>1442.75</v>
      </c>
      <c r="L203" s="193">
        <v>3525.61</v>
      </c>
      <c r="M203" s="191">
        <v>0</v>
      </c>
      <c r="N203" s="193">
        <v>3801.13</v>
      </c>
      <c r="O203" s="193">
        <v>3845.12</v>
      </c>
      <c r="P203" s="193">
        <v>4479.2299999999996</v>
      </c>
    </row>
    <row r="204" spans="1:16" x14ac:dyDescent="0.25">
      <c r="A204" s="190">
        <v>801010402</v>
      </c>
      <c r="B204" s="190" t="s">
        <v>411</v>
      </c>
      <c r="C204" s="190">
        <v>1414</v>
      </c>
      <c r="D204" s="190" t="s">
        <v>408</v>
      </c>
      <c r="E204" s="191">
        <v>0</v>
      </c>
      <c r="F204" s="193">
        <v>2667.8</v>
      </c>
      <c r="G204" s="193">
        <v>5233.62</v>
      </c>
      <c r="H204" s="193">
        <v>2633.81</v>
      </c>
      <c r="I204" s="193">
        <v>2577.16</v>
      </c>
      <c r="J204" s="193">
        <v>2605.48</v>
      </c>
      <c r="K204" s="193">
        <v>1316.9</v>
      </c>
      <c r="L204" s="193">
        <v>6970.34</v>
      </c>
      <c r="M204" s="191">
        <v>0</v>
      </c>
      <c r="N204" s="193">
        <v>3662.16</v>
      </c>
      <c r="O204" s="193">
        <v>3662.16</v>
      </c>
      <c r="P204" s="193">
        <v>4190.1499999999996</v>
      </c>
    </row>
    <row r="205" spans="1:16" x14ac:dyDescent="0.25">
      <c r="A205" s="190">
        <v>801010402</v>
      </c>
      <c r="B205" s="190" t="s">
        <v>412</v>
      </c>
      <c r="C205" s="190">
        <v>1414</v>
      </c>
      <c r="D205" s="190" t="s">
        <v>408</v>
      </c>
      <c r="E205" s="191">
        <v>0</v>
      </c>
      <c r="F205" s="193">
        <v>3287.74</v>
      </c>
      <c r="G205" s="193">
        <v>7031.54</v>
      </c>
      <c r="H205" s="191">
        <v>0</v>
      </c>
      <c r="I205" s="193">
        <v>6663.3</v>
      </c>
      <c r="J205" s="193">
        <v>3299.07</v>
      </c>
      <c r="K205" s="193">
        <v>1658.03</v>
      </c>
      <c r="L205" s="193">
        <v>7035.67</v>
      </c>
      <c r="M205" s="191">
        <v>0</v>
      </c>
      <c r="N205" s="193">
        <v>4132.5</v>
      </c>
      <c r="O205" s="193">
        <v>4138.38</v>
      </c>
      <c r="P205" s="193">
        <v>4630.33</v>
      </c>
    </row>
    <row r="206" spans="1:16" x14ac:dyDescent="0.25">
      <c r="A206" s="190">
        <v>801010402</v>
      </c>
      <c r="B206" s="190" t="s">
        <v>413</v>
      </c>
      <c r="C206" s="190">
        <v>1414</v>
      </c>
      <c r="D206" s="190" t="s">
        <v>408</v>
      </c>
      <c r="E206" s="191">
        <v>0</v>
      </c>
      <c r="F206" s="193">
        <v>2780.7</v>
      </c>
      <c r="G206" s="193">
        <v>6006.13</v>
      </c>
      <c r="H206" s="191">
        <v>0</v>
      </c>
      <c r="I206" s="193">
        <v>5805.01</v>
      </c>
      <c r="J206" s="193">
        <v>2902.5</v>
      </c>
      <c r="K206" s="193">
        <v>1323.78</v>
      </c>
      <c r="L206" s="193">
        <v>6635.73</v>
      </c>
      <c r="M206" s="191">
        <v>0</v>
      </c>
      <c r="N206" s="193">
        <v>3249.82</v>
      </c>
      <c r="O206" s="193">
        <v>3208.76</v>
      </c>
      <c r="P206" s="193">
        <v>3659.79</v>
      </c>
    </row>
    <row r="207" spans="1:16" x14ac:dyDescent="0.25">
      <c r="A207" s="190">
        <v>801010402</v>
      </c>
      <c r="B207" s="190" t="s">
        <v>414</v>
      </c>
      <c r="C207" s="190">
        <v>1414</v>
      </c>
      <c r="D207" s="190" t="s">
        <v>408</v>
      </c>
      <c r="E207" s="191">
        <v>0</v>
      </c>
      <c r="F207" s="193">
        <v>3049.19</v>
      </c>
      <c r="G207" s="193">
        <v>6669.61</v>
      </c>
      <c r="H207" s="191">
        <v>0</v>
      </c>
      <c r="I207" s="193">
        <v>6626.38</v>
      </c>
      <c r="J207" s="193">
        <v>3273.98</v>
      </c>
      <c r="K207" s="193">
        <v>1675.03</v>
      </c>
      <c r="L207" s="193">
        <v>8379.36</v>
      </c>
      <c r="M207" s="191">
        <v>0</v>
      </c>
      <c r="N207" s="193">
        <v>4496.16</v>
      </c>
      <c r="O207" s="193">
        <v>4513.74</v>
      </c>
      <c r="P207" s="193">
        <v>4889.3900000000003</v>
      </c>
    </row>
    <row r="208" spans="1:16" x14ac:dyDescent="0.25">
      <c r="A208" s="190">
        <v>801010402</v>
      </c>
      <c r="B208" s="190" t="s">
        <v>415</v>
      </c>
      <c r="C208" s="190">
        <v>1414</v>
      </c>
      <c r="D208" s="190" t="s">
        <v>408</v>
      </c>
      <c r="E208" s="191">
        <v>0</v>
      </c>
      <c r="F208" s="193">
        <v>2296.41</v>
      </c>
      <c r="G208" s="193">
        <v>4649.47</v>
      </c>
      <c r="H208" s="191">
        <v>0</v>
      </c>
      <c r="I208" s="193">
        <v>4561.6499999999996</v>
      </c>
      <c r="J208" s="193">
        <v>2180.27</v>
      </c>
      <c r="K208" s="193">
        <v>1085.8900000000001</v>
      </c>
      <c r="L208" s="193">
        <v>5765.8</v>
      </c>
      <c r="M208" s="191">
        <v>0</v>
      </c>
      <c r="N208" s="193">
        <v>3238.15</v>
      </c>
      <c r="O208" s="193">
        <v>3311.48</v>
      </c>
      <c r="P208" s="193">
        <v>3403.48</v>
      </c>
    </row>
    <row r="209" spans="1:16" x14ac:dyDescent="0.25">
      <c r="A209" s="190">
        <v>801010402</v>
      </c>
      <c r="B209" s="190" t="s">
        <v>416</v>
      </c>
      <c r="C209" s="190">
        <v>1414</v>
      </c>
      <c r="D209" s="190" t="s">
        <v>408</v>
      </c>
      <c r="E209" s="191">
        <v>0</v>
      </c>
      <c r="F209" s="193">
        <v>3004.48</v>
      </c>
      <c r="G209" s="193">
        <v>6293.5</v>
      </c>
      <c r="H209" s="191">
        <v>0</v>
      </c>
      <c r="I209" s="193">
        <v>6214.18</v>
      </c>
      <c r="J209" s="193">
        <v>3066.8</v>
      </c>
      <c r="K209" s="193">
        <v>1533.4</v>
      </c>
      <c r="L209" s="193">
        <v>7644.7</v>
      </c>
      <c r="M209" s="191">
        <v>0</v>
      </c>
      <c r="N209" s="193">
        <v>4091.46</v>
      </c>
      <c r="O209" s="193">
        <v>4194.1000000000004</v>
      </c>
      <c r="P209" s="193">
        <v>4839.82</v>
      </c>
    </row>
    <row r="210" spans="1:16" x14ac:dyDescent="0.25">
      <c r="A210" s="190">
        <v>801010402</v>
      </c>
      <c r="B210" s="190" t="s">
        <v>417</v>
      </c>
      <c r="C210" s="190">
        <v>1414</v>
      </c>
      <c r="D210" s="190" t="s">
        <v>408</v>
      </c>
      <c r="E210" s="191">
        <v>0</v>
      </c>
      <c r="F210" s="193">
        <v>4057.81</v>
      </c>
      <c r="G210" s="193">
        <v>8385.1299999999992</v>
      </c>
      <c r="H210" s="191">
        <v>0</v>
      </c>
      <c r="I210" s="193">
        <v>8852.11</v>
      </c>
      <c r="J210" s="193">
        <v>4530.8599999999997</v>
      </c>
      <c r="K210" s="193">
        <v>2265.4299999999998</v>
      </c>
      <c r="L210" s="193">
        <v>11432.17</v>
      </c>
      <c r="M210" s="191">
        <v>0</v>
      </c>
      <c r="N210" s="193">
        <v>5441.56</v>
      </c>
      <c r="O210" s="193">
        <v>5306.68</v>
      </c>
      <c r="P210" s="193">
        <v>5920.06</v>
      </c>
    </row>
    <row r="211" spans="1:16" x14ac:dyDescent="0.25">
      <c r="A211" s="190">
        <v>801010402</v>
      </c>
      <c r="B211" s="190" t="s">
        <v>419</v>
      </c>
      <c r="C211" s="190">
        <v>1414</v>
      </c>
      <c r="D211" s="190" t="s">
        <v>408</v>
      </c>
      <c r="E211" s="191">
        <v>0</v>
      </c>
      <c r="F211" s="193">
        <v>4140.3599999999997</v>
      </c>
      <c r="G211" s="193">
        <v>8320.39</v>
      </c>
      <c r="H211" s="191">
        <v>0</v>
      </c>
      <c r="I211" s="193">
        <v>7937.98</v>
      </c>
      <c r="J211" s="193">
        <v>3967.58</v>
      </c>
      <c r="K211" s="193">
        <v>1983.79</v>
      </c>
      <c r="L211" s="193">
        <v>9423.7999999999993</v>
      </c>
      <c r="M211" s="191">
        <v>0</v>
      </c>
      <c r="N211" s="193">
        <v>4484.42</v>
      </c>
      <c r="O211" s="193">
        <v>4527.8500000000004</v>
      </c>
      <c r="P211" s="193">
        <v>5118.6000000000004</v>
      </c>
    </row>
    <row r="212" spans="1:16" x14ac:dyDescent="0.25">
      <c r="A212" s="190">
        <v>801010402</v>
      </c>
      <c r="B212" s="190" t="s">
        <v>420</v>
      </c>
      <c r="C212" s="190">
        <v>1414</v>
      </c>
      <c r="D212" s="190" t="s">
        <v>408</v>
      </c>
      <c r="E212" s="191">
        <v>0</v>
      </c>
      <c r="F212" s="193">
        <v>5164.2</v>
      </c>
      <c r="G212" s="193">
        <v>10057.9</v>
      </c>
      <c r="H212" s="191">
        <v>0</v>
      </c>
      <c r="I212" s="193">
        <v>4829.95</v>
      </c>
      <c r="J212" s="193">
        <v>4841.28</v>
      </c>
      <c r="K212" s="193">
        <v>2419.2199999999998</v>
      </c>
      <c r="L212" s="193">
        <v>11796.88</v>
      </c>
      <c r="M212" s="191">
        <v>0</v>
      </c>
      <c r="N212" s="193">
        <v>5774.16</v>
      </c>
      <c r="O212" s="193">
        <v>5862.14</v>
      </c>
      <c r="P212" s="193">
        <v>6646.64</v>
      </c>
    </row>
    <row r="213" spans="1:16" x14ac:dyDescent="0.25">
      <c r="A213" s="190">
        <v>801010402</v>
      </c>
      <c r="B213" s="190" t="s">
        <v>421</v>
      </c>
      <c r="C213" s="190">
        <v>1414</v>
      </c>
      <c r="D213" s="190" t="s">
        <v>408</v>
      </c>
      <c r="E213" s="191">
        <v>0</v>
      </c>
      <c r="F213" s="193">
        <v>3389.71</v>
      </c>
      <c r="G213" s="193">
        <v>6921.06</v>
      </c>
      <c r="H213" s="191">
        <v>0</v>
      </c>
      <c r="I213" s="193">
        <v>3401.05</v>
      </c>
      <c r="J213" s="193">
        <v>5050.58</v>
      </c>
      <c r="K213" s="193">
        <v>1700.52</v>
      </c>
      <c r="L213" s="193">
        <v>8757.27</v>
      </c>
      <c r="M213" s="191">
        <v>0</v>
      </c>
      <c r="N213" s="193">
        <v>4208.76</v>
      </c>
      <c r="O213" s="193">
        <v>4211.68</v>
      </c>
      <c r="P213" s="193">
        <v>4822.03</v>
      </c>
    </row>
    <row r="214" spans="1:16" x14ac:dyDescent="0.25">
      <c r="A214" s="190">
        <v>801010402</v>
      </c>
      <c r="B214" s="190" t="s">
        <v>422</v>
      </c>
      <c r="C214" s="190">
        <v>1414</v>
      </c>
      <c r="D214" s="190" t="s">
        <v>408</v>
      </c>
      <c r="E214" s="191">
        <v>0</v>
      </c>
      <c r="F214" s="193">
        <v>4468.95</v>
      </c>
      <c r="G214" s="193">
        <v>9158.84</v>
      </c>
      <c r="H214" s="191">
        <v>0</v>
      </c>
      <c r="I214" s="193">
        <v>4341.4799999999996</v>
      </c>
      <c r="J214" s="193">
        <v>6478.23</v>
      </c>
      <c r="K214" s="193">
        <v>2142.41</v>
      </c>
      <c r="L214" s="193">
        <v>10683.8</v>
      </c>
      <c r="M214" s="191">
        <v>0</v>
      </c>
      <c r="N214" s="193">
        <v>5968.29</v>
      </c>
      <c r="O214" s="193">
        <v>6073.84</v>
      </c>
      <c r="P214" s="193">
        <v>6343.14</v>
      </c>
    </row>
    <row r="215" spans="1:16" x14ac:dyDescent="0.25">
      <c r="A215" s="190">
        <v>801010402</v>
      </c>
      <c r="B215" s="190" t="s">
        <v>423</v>
      </c>
      <c r="C215" s="190">
        <v>1414</v>
      </c>
      <c r="D215" s="190" t="s">
        <v>408</v>
      </c>
      <c r="E215" s="191">
        <v>0</v>
      </c>
      <c r="F215" s="193">
        <v>2789.2</v>
      </c>
      <c r="G215" s="193">
        <v>4987.22</v>
      </c>
      <c r="H215" s="191">
        <v>0</v>
      </c>
      <c r="I215" s="193">
        <v>2738.21</v>
      </c>
      <c r="J215" s="193">
        <v>4107.32</v>
      </c>
      <c r="K215" s="193">
        <v>1369.11</v>
      </c>
      <c r="L215" s="193">
        <v>7066.62</v>
      </c>
      <c r="M215" s="191">
        <v>0</v>
      </c>
      <c r="N215" s="193">
        <v>3892.04</v>
      </c>
      <c r="O215" s="193">
        <v>3921.37</v>
      </c>
      <c r="P215" s="193">
        <v>4613</v>
      </c>
    </row>
    <row r="216" spans="1:16" x14ac:dyDescent="0.25">
      <c r="A216" s="190">
        <v>801010402</v>
      </c>
      <c r="B216" s="190" t="s">
        <v>424</v>
      </c>
      <c r="C216" s="190">
        <v>1414</v>
      </c>
      <c r="D216" s="190" t="s">
        <v>408</v>
      </c>
      <c r="E216" s="191">
        <v>0</v>
      </c>
      <c r="F216" s="193">
        <v>3952.24</v>
      </c>
      <c r="G216" s="193">
        <v>7990.95</v>
      </c>
      <c r="H216" s="191">
        <v>0</v>
      </c>
      <c r="I216" s="193">
        <v>4396.5600000000004</v>
      </c>
      <c r="J216" s="193">
        <v>6645.82</v>
      </c>
      <c r="K216" s="193">
        <v>2223.77</v>
      </c>
      <c r="L216" s="193">
        <v>10870.64</v>
      </c>
      <c r="M216" s="191">
        <v>0</v>
      </c>
      <c r="N216" s="193">
        <v>7018.8</v>
      </c>
      <c r="O216" s="193">
        <v>7338.45</v>
      </c>
      <c r="P216" s="193">
        <v>7841.75</v>
      </c>
    </row>
    <row r="217" spans="1:16" x14ac:dyDescent="0.25">
      <c r="A217" s="190">
        <v>801010402</v>
      </c>
      <c r="B217" s="190" t="s">
        <v>425</v>
      </c>
      <c r="C217" s="190">
        <v>1414</v>
      </c>
      <c r="D217" s="190" t="s">
        <v>408</v>
      </c>
      <c r="E217" s="191">
        <v>0</v>
      </c>
      <c r="F217" s="193">
        <v>2019.65</v>
      </c>
      <c r="G217" s="193">
        <v>4679.46</v>
      </c>
      <c r="H217" s="191">
        <v>0</v>
      </c>
      <c r="I217" s="193">
        <v>1563.59</v>
      </c>
      <c r="J217" s="193">
        <v>2548.3000000000002</v>
      </c>
      <c r="K217" s="193">
        <v>1076.1300000000001</v>
      </c>
      <c r="L217" s="193">
        <v>4908.2</v>
      </c>
      <c r="M217" s="191">
        <v>0</v>
      </c>
      <c r="N217" s="193">
        <v>2694.43</v>
      </c>
      <c r="O217" s="193">
        <v>3022.86</v>
      </c>
      <c r="P217" s="193">
        <v>3192.12</v>
      </c>
    </row>
    <row r="218" spans="1:16" x14ac:dyDescent="0.25">
      <c r="A218" s="190">
        <v>801010402</v>
      </c>
      <c r="B218" s="190" t="s">
        <v>426</v>
      </c>
      <c r="C218" s="190">
        <v>1414</v>
      </c>
      <c r="D218" s="190" t="s">
        <v>408</v>
      </c>
      <c r="E218" s="191">
        <v>0</v>
      </c>
      <c r="F218" s="193">
        <v>5054.8999999999996</v>
      </c>
      <c r="G218" s="193">
        <v>10366.120000000001</v>
      </c>
      <c r="H218" s="191">
        <v>0</v>
      </c>
      <c r="I218" s="193">
        <v>5948.84</v>
      </c>
      <c r="J218" s="193">
        <v>8962.92</v>
      </c>
      <c r="K218" s="193">
        <v>7893.01</v>
      </c>
      <c r="L218" s="193">
        <v>10469.17</v>
      </c>
      <c r="M218" s="191">
        <v>0</v>
      </c>
      <c r="N218" s="193">
        <v>6466.24</v>
      </c>
      <c r="O218" s="193">
        <v>6514.02</v>
      </c>
      <c r="P218" s="193">
        <v>7243.37</v>
      </c>
    </row>
    <row r="219" spans="1:16" x14ac:dyDescent="0.25">
      <c r="A219" s="190">
        <v>801010402</v>
      </c>
      <c r="B219" s="190" t="s">
        <v>427</v>
      </c>
      <c r="C219" s="190">
        <v>1414</v>
      </c>
      <c r="D219" s="190" t="s">
        <v>408</v>
      </c>
      <c r="E219" s="191">
        <v>0</v>
      </c>
      <c r="F219" s="193">
        <v>3421.28</v>
      </c>
      <c r="G219" s="193">
        <v>6842.56</v>
      </c>
      <c r="H219" s="191">
        <v>0</v>
      </c>
      <c r="I219" s="193">
        <v>3220.16</v>
      </c>
      <c r="J219" s="193">
        <v>3217.32</v>
      </c>
      <c r="K219" s="193">
        <v>6212.2</v>
      </c>
      <c r="L219" s="193">
        <v>7171.81</v>
      </c>
      <c r="M219" s="191">
        <v>0</v>
      </c>
      <c r="N219" s="193">
        <v>4279.1499999999996</v>
      </c>
      <c r="O219" s="193">
        <v>4308.46</v>
      </c>
      <c r="P219" s="193">
        <v>4867.5</v>
      </c>
    </row>
    <row r="220" spans="1:16" x14ac:dyDescent="0.25">
      <c r="A220" s="190">
        <v>801010402</v>
      </c>
      <c r="B220" s="190" t="s">
        <v>428</v>
      </c>
      <c r="C220" s="190">
        <v>1414</v>
      </c>
      <c r="D220" s="190" t="s">
        <v>408</v>
      </c>
      <c r="E220" s="191">
        <v>0</v>
      </c>
      <c r="F220" s="193">
        <v>4803.2</v>
      </c>
      <c r="G220" s="193">
        <v>9872.66</v>
      </c>
      <c r="H220" s="191">
        <v>0</v>
      </c>
      <c r="I220" s="193">
        <v>4500.1099999999997</v>
      </c>
      <c r="J220" s="193">
        <v>4568.09</v>
      </c>
      <c r="K220" s="193">
        <v>8602.7800000000007</v>
      </c>
      <c r="L220" s="193">
        <v>9737.25</v>
      </c>
      <c r="M220" s="191">
        <v>0</v>
      </c>
      <c r="N220" s="193">
        <v>5680.98</v>
      </c>
      <c r="O220" s="193">
        <v>5839.24</v>
      </c>
      <c r="P220" s="193">
        <v>6500.98</v>
      </c>
    </row>
    <row r="221" spans="1:16" x14ac:dyDescent="0.25">
      <c r="A221" s="190">
        <v>801010402</v>
      </c>
      <c r="B221" s="190" t="s">
        <v>429</v>
      </c>
      <c r="C221" s="190">
        <v>1414</v>
      </c>
      <c r="D221" s="190" t="s">
        <v>408</v>
      </c>
      <c r="E221" s="191">
        <v>0</v>
      </c>
      <c r="F221" s="193">
        <v>2634.33</v>
      </c>
      <c r="G221" s="193">
        <v>5576.37</v>
      </c>
      <c r="H221" s="191">
        <v>0</v>
      </c>
      <c r="I221" s="193">
        <v>2803.77</v>
      </c>
      <c r="J221" s="193">
        <v>2803.77</v>
      </c>
      <c r="K221" s="193">
        <v>5417.06</v>
      </c>
      <c r="L221" s="193">
        <v>5207.0200000000004</v>
      </c>
      <c r="M221" s="191">
        <v>0</v>
      </c>
      <c r="N221" s="193">
        <v>2763.02</v>
      </c>
      <c r="O221" s="193">
        <v>2842.2</v>
      </c>
      <c r="P221" s="193">
        <v>3392.12</v>
      </c>
    </row>
    <row r="222" spans="1:16" x14ac:dyDescent="0.25">
      <c r="A222" s="190">
        <v>801010402</v>
      </c>
      <c r="B222" s="190" t="s">
        <v>430</v>
      </c>
      <c r="C222" s="190">
        <v>1414</v>
      </c>
      <c r="D222" s="190" t="s">
        <v>408</v>
      </c>
      <c r="E222" s="191">
        <v>0</v>
      </c>
      <c r="F222" s="193">
        <v>3534.18</v>
      </c>
      <c r="G222" s="193">
        <v>6684.07</v>
      </c>
      <c r="H222" s="191">
        <v>0</v>
      </c>
      <c r="I222" s="193">
        <v>3338.21</v>
      </c>
      <c r="J222" s="193">
        <v>3338.2</v>
      </c>
      <c r="K222" s="193">
        <v>6764.61</v>
      </c>
      <c r="L222" s="193">
        <v>7590.54</v>
      </c>
      <c r="M222" s="191">
        <v>0</v>
      </c>
      <c r="N222" s="193">
        <v>4877.37</v>
      </c>
      <c r="O222" s="193">
        <v>4845.12</v>
      </c>
      <c r="P222" s="193">
        <v>5394.19</v>
      </c>
    </row>
    <row r="223" spans="1:16" x14ac:dyDescent="0.25">
      <c r="A223" s="190">
        <v>801010402</v>
      </c>
      <c r="B223" s="190" t="s">
        <v>431</v>
      </c>
      <c r="C223" s="190">
        <v>1414</v>
      </c>
      <c r="D223" s="190" t="s">
        <v>408</v>
      </c>
      <c r="E223" s="191">
        <v>0</v>
      </c>
      <c r="F223" s="193">
        <v>3820.28</v>
      </c>
      <c r="G223" s="193">
        <v>7297.77</v>
      </c>
      <c r="H223" s="191">
        <v>0</v>
      </c>
      <c r="I223" s="193">
        <v>3752.29</v>
      </c>
      <c r="J223" s="193">
        <v>3752.29</v>
      </c>
      <c r="K223" s="193">
        <v>7128.8</v>
      </c>
      <c r="L223" s="193">
        <v>7942.44</v>
      </c>
      <c r="M223" s="191">
        <v>0</v>
      </c>
      <c r="N223" s="193">
        <v>5167.6899999999996</v>
      </c>
      <c r="O223" s="193">
        <v>5164.76</v>
      </c>
      <c r="P223" s="193">
        <v>5760.41</v>
      </c>
    </row>
    <row r="224" spans="1:16" x14ac:dyDescent="0.25">
      <c r="A224" s="190">
        <v>801010402</v>
      </c>
      <c r="B224" s="190" t="s">
        <v>432</v>
      </c>
      <c r="C224" s="190">
        <v>1414</v>
      </c>
      <c r="D224" s="190" t="s">
        <v>408</v>
      </c>
      <c r="E224" s="191">
        <v>0</v>
      </c>
      <c r="F224" s="193">
        <v>5090.95</v>
      </c>
      <c r="G224" s="193">
        <v>9497.43</v>
      </c>
      <c r="H224" s="191">
        <v>0</v>
      </c>
      <c r="I224" s="193">
        <v>5626.32</v>
      </c>
      <c r="J224" s="193">
        <v>5634.81</v>
      </c>
      <c r="K224" s="193">
        <v>10165.93</v>
      </c>
      <c r="L224" s="193">
        <v>11657.47</v>
      </c>
      <c r="M224" s="191">
        <v>0</v>
      </c>
      <c r="N224" s="193">
        <v>6673.31</v>
      </c>
      <c r="O224" s="193">
        <v>6764.22</v>
      </c>
      <c r="P224" s="193">
        <v>7398.33</v>
      </c>
    </row>
    <row r="225" spans="1:16" x14ac:dyDescent="0.25">
      <c r="A225" s="190">
        <v>801010402</v>
      </c>
      <c r="B225" s="190" t="s">
        <v>433</v>
      </c>
      <c r="C225" s="190">
        <v>1414</v>
      </c>
      <c r="D225" s="190" t="s">
        <v>408</v>
      </c>
      <c r="E225" s="191">
        <v>0</v>
      </c>
      <c r="F225" s="193">
        <v>2779.51</v>
      </c>
      <c r="G225" s="193">
        <v>5756.26</v>
      </c>
      <c r="H225" s="191">
        <v>0</v>
      </c>
      <c r="I225" s="193">
        <v>3226.54</v>
      </c>
      <c r="J225" s="193">
        <v>3226.54</v>
      </c>
      <c r="K225" s="193">
        <v>5850.82</v>
      </c>
      <c r="L225" s="193">
        <v>7070.46</v>
      </c>
      <c r="M225" s="191">
        <v>0</v>
      </c>
      <c r="N225" s="193">
        <v>4356.33</v>
      </c>
      <c r="O225" s="193">
        <v>4356.34</v>
      </c>
      <c r="P225" s="193">
        <v>4356.34</v>
      </c>
    </row>
    <row r="226" spans="1:16" x14ac:dyDescent="0.25">
      <c r="A226" s="190">
        <v>801010402</v>
      </c>
      <c r="B226" s="190" t="s">
        <v>434</v>
      </c>
      <c r="C226" s="190">
        <v>1414</v>
      </c>
      <c r="D226" s="190" t="s">
        <v>408</v>
      </c>
      <c r="E226" s="191">
        <v>0</v>
      </c>
      <c r="F226" s="193">
        <v>2256.1799999999998</v>
      </c>
      <c r="G226" s="193">
        <v>4307.4799999999996</v>
      </c>
      <c r="H226" s="191">
        <v>0</v>
      </c>
      <c r="I226" s="193">
        <v>2337.1</v>
      </c>
      <c r="J226" s="193">
        <v>2337.1</v>
      </c>
      <c r="K226" s="193">
        <v>4418.04</v>
      </c>
      <c r="L226" s="193">
        <v>5516.22</v>
      </c>
      <c r="M226" s="191">
        <v>0</v>
      </c>
      <c r="N226" s="193">
        <v>3544.02</v>
      </c>
      <c r="O226" s="193">
        <v>3511.76</v>
      </c>
      <c r="P226" s="193">
        <v>3511.76</v>
      </c>
    </row>
    <row r="227" spans="1:16" x14ac:dyDescent="0.25">
      <c r="A227" s="190">
        <v>801010402</v>
      </c>
      <c r="B227" s="190" t="s">
        <v>435</v>
      </c>
      <c r="C227" s="190">
        <v>1414</v>
      </c>
      <c r="D227" s="190" t="s">
        <v>408</v>
      </c>
      <c r="E227" s="191">
        <v>0</v>
      </c>
      <c r="F227" s="193">
        <v>1732.47</v>
      </c>
      <c r="G227" s="191">
        <v>998.82</v>
      </c>
      <c r="H227" s="191">
        <v>0</v>
      </c>
      <c r="I227" s="193">
        <v>1038.48</v>
      </c>
      <c r="J227" s="193">
        <v>1158.72</v>
      </c>
      <c r="K227" s="193">
        <v>2334.5300000000002</v>
      </c>
      <c r="L227" s="193">
        <v>2624.75</v>
      </c>
      <c r="M227" s="191">
        <v>0</v>
      </c>
      <c r="N227" s="193">
        <v>1734.66</v>
      </c>
      <c r="O227" s="193">
        <v>1746.38</v>
      </c>
      <c r="P227" s="193">
        <v>1746.38</v>
      </c>
    </row>
    <row r="228" spans="1:16" x14ac:dyDescent="0.25">
      <c r="A228" s="190">
        <v>801010402</v>
      </c>
      <c r="B228" s="190" t="s">
        <v>436</v>
      </c>
      <c r="C228" s="190">
        <v>1414</v>
      </c>
      <c r="D228" s="190" t="s">
        <v>408</v>
      </c>
      <c r="E228" s="191">
        <v>0</v>
      </c>
      <c r="F228" s="193">
        <v>2260.62</v>
      </c>
      <c r="G228" s="193">
        <v>4140.59</v>
      </c>
      <c r="H228" s="191">
        <v>0</v>
      </c>
      <c r="I228" s="193">
        <v>2365.4299999999998</v>
      </c>
      <c r="J228" s="193">
        <v>2365.4299999999998</v>
      </c>
      <c r="K228" s="193">
        <v>4482.3599999999997</v>
      </c>
      <c r="L228" s="193">
        <v>2705.33</v>
      </c>
      <c r="M228" s="191">
        <v>0</v>
      </c>
      <c r="N228" s="193">
        <v>2966.32</v>
      </c>
      <c r="O228" s="193">
        <v>2843.16</v>
      </c>
      <c r="P228" s="193">
        <v>2843.16</v>
      </c>
    </row>
    <row r="229" spans="1:16" x14ac:dyDescent="0.25">
      <c r="A229" s="190">
        <v>801010402</v>
      </c>
      <c r="B229" s="190" t="s">
        <v>437</v>
      </c>
      <c r="C229" s="190">
        <v>1414</v>
      </c>
      <c r="D229" s="190" t="s">
        <v>408</v>
      </c>
      <c r="E229" s="191">
        <v>0</v>
      </c>
      <c r="F229" s="193">
        <v>2338.19</v>
      </c>
      <c r="G229" s="193">
        <v>5310.98</v>
      </c>
      <c r="H229" s="191">
        <v>0</v>
      </c>
      <c r="I229" s="193">
        <v>2640.67</v>
      </c>
      <c r="J229" s="193">
        <v>2620.34</v>
      </c>
      <c r="K229" s="193">
        <v>6293.35</v>
      </c>
      <c r="L229" s="193">
        <v>4504.8599999999997</v>
      </c>
      <c r="M229" s="191">
        <v>0</v>
      </c>
      <c r="N229" s="193">
        <v>3153.92</v>
      </c>
      <c r="O229" s="193">
        <v>3195.56</v>
      </c>
      <c r="P229" s="193">
        <v>5170.24</v>
      </c>
    </row>
    <row r="230" spans="1:16" x14ac:dyDescent="0.25">
      <c r="A230" s="190">
        <v>801010402</v>
      </c>
      <c r="B230" s="190" t="s">
        <v>407</v>
      </c>
      <c r="C230" s="190">
        <v>1415</v>
      </c>
      <c r="D230" s="190" t="s">
        <v>408</v>
      </c>
      <c r="E230" s="191">
        <v>0</v>
      </c>
      <c r="F230" s="193">
        <v>6617.44</v>
      </c>
      <c r="G230" s="193">
        <v>13572.01</v>
      </c>
      <c r="H230" s="193">
        <v>6981.72</v>
      </c>
      <c r="I230" s="193">
        <v>7320.02</v>
      </c>
      <c r="J230" s="193">
        <v>7333.12</v>
      </c>
      <c r="K230" s="193">
        <v>3862.02</v>
      </c>
      <c r="L230" s="193">
        <v>18342.849999999999</v>
      </c>
      <c r="M230" s="193">
        <v>4782.25</v>
      </c>
      <c r="N230" s="193">
        <v>9736.19</v>
      </c>
      <c r="O230" s="193">
        <v>9692.0300000000007</v>
      </c>
      <c r="P230" s="193">
        <v>9705.5499999999993</v>
      </c>
    </row>
    <row r="231" spans="1:16" x14ac:dyDescent="0.25">
      <c r="A231" s="190">
        <v>801010402</v>
      </c>
      <c r="B231" s="190" t="s">
        <v>410</v>
      </c>
      <c r="C231" s="190">
        <v>1415</v>
      </c>
      <c r="D231" s="190" t="s">
        <v>408</v>
      </c>
      <c r="E231" s="191">
        <v>0</v>
      </c>
      <c r="F231" s="193">
        <v>1276.47</v>
      </c>
      <c r="G231" s="193">
        <v>3379.62</v>
      </c>
      <c r="H231" s="193">
        <v>1584.23</v>
      </c>
      <c r="I231" s="193">
        <v>1559.73</v>
      </c>
      <c r="J231" s="193">
        <v>1559.73</v>
      </c>
      <c r="K231" s="191">
        <v>779.87</v>
      </c>
      <c r="L231" s="193">
        <v>3586.67</v>
      </c>
      <c r="M231" s="191">
        <v>0</v>
      </c>
      <c r="N231" s="193">
        <v>2054.66</v>
      </c>
      <c r="O231" s="193">
        <v>2078.44</v>
      </c>
      <c r="P231" s="193">
        <v>2421.21</v>
      </c>
    </row>
    <row r="232" spans="1:16" x14ac:dyDescent="0.25">
      <c r="A232" s="190">
        <v>801010402</v>
      </c>
      <c r="B232" s="190" t="s">
        <v>411</v>
      </c>
      <c r="C232" s="190">
        <v>1415</v>
      </c>
      <c r="D232" s="190" t="s">
        <v>408</v>
      </c>
      <c r="E232" s="191">
        <v>0</v>
      </c>
      <c r="F232" s="193">
        <v>1442.05</v>
      </c>
      <c r="G232" s="193">
        <v>2828.99</v>
      </c>
      <c r="H232" s="193">
        <v>1423.68</v>
      </c>
      <c r="I232" s="193">
        <v>1393.06</v>
      </c>
      <c r="J232" s="193">
        <v>1408.37</v>
      </c>
      <c r="K232" s="191">
        <v>711.84</v>
      </c>
      <c r="L232" s="193">
        <v>3767.75</v>
      </c>
      <c r="M232" s="191">
        <v>0</v>
      </c>
      <c r="N232" s="193">
        <v>1979.54</v>
      </c>
      <c r="O232" s="193">
        <v>1979.54</v>
      </c>
      <c r="P232" s="193">
        <v>2264.9499999999998</v>
      </c>
    </row>
    <row r="233" spans="1:16" x14ac:dyDescent="0.25">
      <c r="A233" s="190">
        <v>801010402</v>
      </c>
      <c r="B233" s="190" t="s">
        <v>412</v>
      </c>
      <c r="C233" s="190">
        <v>1415</v>
      </c>
      <c r="D233" s="190" t="s">
        <v>408</v>
      </c>
      <c r="E233" s="191">
        <v>0</v>
      </c>
      <c r="F233" s="193">
        <v>1777.15</v>
      </c>
      <c r="G233" s="193">
        <v>3800.83</v>
      </c>
      <c r="H233" s="191">
        <v>0</v>
      </c>
      <c r="I233" s="193">
        <v>3601.78</v>
      </c>
      <c r="J233" s="193">
        <v>1783.28</v>
      </c>
      <c r="K233" s="191">
        <v>896.23</v>
      </c>
      <c r="L233" s="193">
        <v>3803.06</v>
      </c>
      <c r="M233" s="191">
        <v>0</v>
      </c>
      <c r="N233" s="193">
        <v>2233.8000000000002</v>
      </c>
      <c r="O233" s="193">
        <v>2236.96</v>
      </c>
      <c r="P233" s="193">
        <v>2502.87</v>
      </c>
    </row>
    <row r="234" spans="1:16" x14ac:dyDescent="0.25">
      <c r="A234" s="190">
        <v>801010402</v>
      </c>
      <c r="B234" s="190" t="s">
        <v>413</v>
      </c>
      <c r="C234" s="190">
        <v>1415</v>
      </c>
      <c r="D234" s="190" t="s">
        <v>408</v>
      </c>
      <c r="E234" s="191">
        <v>0</v>
      </c>
      <c r="F234" s="193">
        <v>1503.08</v>
      </c>
      <c r="G234" s="193">
        <v>3147.46</v>
      </c>
      <c r="H234" s="191">
        <v>0</v>
      </c>
      <c r="I234" s="193">
        <v>3137.84</v>
      </c>
      <c r="J234" s="193">
        <v>1568.92</v>
      </c>
      <c r="K234" s="191">
        <v>715.56</v>
      </c>
      <c r="L234" s="193">
        <v>3586.88</v>
      </c>
      <c r="M234" s="191">
        <v>0</v>
      </c>
      <c r="N234" s="193">
        <v>1756.66</v>
      </c>
      <c r="O234" s="193">
        <v>1734.47</v>
      </c>
      <c r="P234" s="193">
        <v>1978.26</v>
      </c>
    </row>
    <row r="235" spans="1:16" x14ac:dyDescent="0.25">
      <c r="A235" s="190">
        <v>801010402</v>
      </c>
      <c r="B235" s="190" t="s">
        <v>414</v>
      </c>
      <c r="C235" s="190">
        <v>1415</v>
      </c>
      <c r="D235" s="190" t="s">
        <v>408</v>
      </c>
      <c r="E235" s="191">
        <v>0</v>
      </c>
      <c r="F235" s="193">
        <v>1648.21</v>
      </c>
      <c r="G235" s="193">
        <v>3605.19</v>
      </c>
      <c r="H235" s="191">
        <v>0</v>
      </c>
      <c r="I235" s="193">
        <v>3581.83</v>
      </c>
      <c r="J235" s="193">
        <v>1769.72</v>
      </c>
      <c r="K235" s="191">
        <v>905.42</v>
      </c>
      <c r="L235" s="193">
        <v>4529.38</v>
      </c>
      <c r="M235" s="191">
        <v>0</v>
      </c>
      <c r="N235" s="193">
        <v>2430.34</v>
      </c>
      <c r="O235" s="193">
        <v>2439.86</v>
      </c>
      <c r="P235" s="193">
        <v>2642.92</v>
      </c>
    </row>
    <row r="236" spans="1:16" x14ac:dyDescent="0.25">
      <c r="A236" s="190">
        <v>801010402</v>
      </c>
      <c r="B236" s="190" t="s">
        <v>415</v>
      </c>
      <c r="C236" s="190">
        <v>1415</v>
      </c>
      <c r="D236" s="190" t="s">
        <v>408</v>
      </c>
      <c r="E236" s="191">
        <v>0</v>
      </c>
      <c r="F236" s="193">
        <v>1241.3</v>
      </c>
      <c r="G236" s="193">
        <v>2513.2199999999998</v>
      </c>
      <c r="H236" s="191">
        <v>0</v>
      </c>
      <c r="I236" s="193">
        <v>2465.7600000000002</v>
      </c>
      <c r="J236" s="193">
        <v>1178.53</v>
      </c>
      <c r="K236" s="191">
        <v>586.97</v>
      </c>
      <c r="L236" s="193">
        <v>3116.65</v>
      </c>
      <c r="M236" s="191">
        <v>0</v>
      </c>
      <c r="N236" s="193">
        <v>1750.37</v>
      </c>
      <c r="O236" s="193">
        <v>1790</v>
      </c>
      <c r="P236" s="193">
        <v>1839.72</v>
      </c>
    </row>
    <row r="237" spans="1:16" x14ac:dyDescent="0.25">
      <c r="A237" s="190">
        <v>801010402</v>
      </c>
      <c r="B237" s="190" t="s">
        <v>416</v>
      </c>
      <c r="C237" s="190">
        <v>1415</v>
      </c>
      <c r="D237" s="190" t="s">
        <v>408</v>
      </c>
      <c r="E237" s="191">
        <v>0</v>
      </c>
      <c r="F237" s="193">
        <v>1624.04</v>
      </c>
      <c r="G237" s="193">
        <v>3401.89</v>
      </c>
      <c r="H237" s="191">
        <v>0</v>
      </c>
      <c r="I237" s="193">
        <v>3359.02</v>
      </c>
      <c r="J237" s="193">
        <v>1657.72</v>
      </c>
      <c r="K237" s="191">
        <v>828.86</v>
      </c>
      <c r="L237" s="193">
        <v>4132.2700000000004</v>
      </c>
      <c r="M237" s="191">
        <v>0</v>
      </c>
      <c r="N237" s="193">
        <v>2211.6</v>
      </c>
      <c r="O237" s="193">
        <v>2267.08</v>
      </c>
      <c r="P237" s="193">
        <v>2616.11</v>
      </c>
    </row>
    <row r="238" spans="1:16" x14ac:dyDescent="0.25">
      <c r="A238" s="190">
        <v>801010402</v>
      </c>
      <c r="B238" s="190" t="s">
        <v>417</v>
      </c>
      <c r="C238" s="190">
        <v>1415</v>
      </c>
      <c r="D238" s="190" t="s">
        <v>408</v>
      </c>
      <c r="E238" s="191">
        <v>0</v>
      </c>
      <c r="F238" s="193">
        <v>2193.41</v>
      </c>
      <c r="G238" s="193">
        <v>4532.5</v>
      </c>
      <c r="H238" s="191">
        <v>0</v>
      </c>
      <c r="I238" s="193">
        <v>4784.92</v>
      </c>
      <c r="J238" s="193">
        <v>2449.12</v>
      </c>
      <c r="K238" s="193">
        <v>1224.56</v>
      </c>
      <c r="L238" s="193">
        <v>6179.55</v>
      </c>
      <c r="M238" s="191">
        <v>0</v>
      </c>
      <c r="N238" s="193">
        <v>2941.4</v>
      </c>
      <c r="O238" s="193">
        <v>2868.48</v>
      </c>
      <c r="P238" s="193">
        <v>3200.03</v>
      </c>
    </row>
    <row r="239" spans="1:16" x14ac:dyDescent="0.25">
      <c r="A239" s="190">
        <v>801010402</v>
      </c>
      <c r="B239" s="190" t="s">
        <v>419</v>
      </c>
      <c r="C239" s="190">
        <v>1415</v>
      </c>
      <c r="D239" s="190" t="s">
        <v>408</v>
      </c>
      <c r="E239" s="191">
        <v>0</v>
      </c>
      <c r="F239" s="193">
        <v>2238.0300000000002</v>
      </c>
      <c r="G239" s="193">
        <v>4497.51</v>
      </c>
      <c r="H239" s="191">
        <v>0</v>
      </c>
      <c r="I239" s="193">
        <v>2365.9499999999998</v>
      </c>
      <c r="J239" s="193">
        <v>2995.63</v>
      </c>
      <c r="K239" s="193">
        <v>1072.32</v>
      </c>
      <c r="L239" s="193">
        <v>5093.95</v>
      </c>
      <c r="M239" s="191">
        <v>0</v>
      </c>
      <c r="N239" s="193">
        <v>2424</v>
      </c>
      <c r="O239" s="193">
        <v>2447.48</v>
      </c>
      <c r="P239" s="193">
        <v>2766.81</v>
      </c>
    </row>
    <row r="240" spans="1:16" x14ac:dyDescent="0.25">
      <c r="A240" s="190">
        <v>801010402</v>
      </c>
      <c r="B240" s="190" t="s">
        <v>420</v>
      </c>
      <c r="C240" s="190">
        <v>1415</v>
      </c>
      <c r="D240" s="190" t="s">
        <v>408</v>
      </c>
      <c r="E240" s="191">
        <v>0</v>
      </c>
      <c r="F240" s="193">
        <v>2791.46</v>
      </c>
      <c r="G240" s="193">
        <v>5657.94</v>
      </c>
      <c r="H240" s="191">
        <v>0</v>
      </c>
      <c r="I240" s="193">
        <v>2610.7800000000002</v>
      </c>
      <c r="J240" s="193">
        <v>2616.91</v>
      </c>
      <c r="K240" s="193">
        <v>1307.69</v>
      </c>
      <c r="L240" s="193">
        <v>6376.69</v>
      </c>
      <c r="M240" s="191">
        <v>0</v>
      </c>
      <c r="N240" s="193">
        <v>3121.18</v>
      </c>
      <c r="O240" s="193">
        <v>3168.73</v>
      </c>
      <c r="P240" s="193">
        <v>3592.77</v>
      </c>
    </row>
    <row r="241" spans="1:16" x14ac:dyDescent="0.25">
      <c r="A241" s="190">
        <v>801010402</v>
      </c>
      <c r="B241" s="190" t="s">
        <v>421</v>
      </c>
      <c r="C241" s="190">
        <v>1415</v>
      </c>
      <c r="D241" s="190" t="s">
        <v>408</v>
      </c>
      <c r="E241" s="191">
        <v>0</v>
      </c>
      <c r="F241" s="193">
        <v>1832.28</v>
      </c>
      <c r="G241" s="193">
        <v>3741.12</v>
      </c>
      <c r="H241" s="191">
        <v>0</v>
      </c>
      <c r="I241" s="193">
        <v>1838.4</v>
      </c>
      <c r="J241" s="193">
        <v>2730.04</v>
      </c>
      <c r="K241" s="191">
        <v>919.2</v>
      </c>
      <c r="L241" s="193">
        <v>4733.66</v>
      </c>
      <c r="M241" s="191">
        <v>0</v>
      </c>
      <c r="N241" s="193">
        <v>2275</v>
      </c>
      <c r="O241" s="193">
        <v>2276.59</v>
      </c>
      <c r="P241" s="193">
        <v>2606.5100000000002</v>
      </c>
    </row>
    <row r="242" spans="1:16" x14ac:dyDescent="0.25">
      <c r="A242" s="190">
        <v>801010402</v>
      </c>
      <c r="B242" s="190" t="s">
        <v>422</v>
      </c>
      <c r="C242" s="190">
        <v>1415</v>
      </c>
      <c r="D242" s="190" t="s">
        <v>408</v>
      </c>
      <c r="E242" s="191">
        <v>0</v>
      </c>
      <c r="F242" s="193">
        <v>2415.65</v>
      </c>
      <c r="G242" s="193">
        <v>4950.7299999999996</v>
      </c>
      <c r="H242" s="191">
        <v>0</v>
      </c>
      <c r="I242" s="193">
        <v>2346.75</v>
      </c>
      <c r="J242" s="193">
        <v>3501.75</v>
      </c>
      <c r="K242" s="193">
        <v>1158.06</v>
      </c>
      <c r="L242" s="193">
        <v>5775.03</v>
      </c>
      <c r="M242" s="191">
        <v>0</v>
      </c>
      <c r="N242" s="193">
        <v>3226.09</v>
      </c>
      <c r="O242" s="193">
        <v>3283.16</v>
      </c>
      <c r="P242" s="193">
        <v>3428.72</v>
      </c>
    </row>
    <row r="243" spans="1:16" x14ac:dyDescent="0.25">
      <c r="A243" s="190">
        <v>801010402</v>
      </c>
      <c r="B243" s="190" t="s">
        <v>423</v>
      </c>
      <c r="C243" s="190">
        <v>1415</v>
      </c>
      <c r="D243" s="190" t="s">
        <v>408</v>
      </c>
      <c r="E243" s="191">
        <v>0</v>
      </c>
      <c r="F243" s="193">
        <v>1507.68</v>
      </c>
      <c r="G243" s="193">
        <v>3049.32</v>
      </c>
      <c r="H243" s="191">
        <v>0</v>
      </c>
      <c r="I243" s="193">
        <v>1480.11</v>
      </c>
      <c r="J243" s="193">
        <v>2220.17</v>
      </c>
      <c r="K243" s="191">
        <v>740.06</v>
      </c>
      <c r="L243" s="193">
        <v>3819.79</v>
      </c>
      <c r="M243" s="191">
        <v>0</v>
      </c>
      <c r="N243" s="193">
        <v>2103.8200000000002</v>
      </c>
      <c r="O243" s="193">
        <v>2119.65</v>
      </c>
      <c r="P243" s="193">
        <v>2493.5100000000002</v>
      </c>
    </row>
    <row r="244" spans="1:16" x14ac:dyDescent="0.25">
      <c r="A244" s="190">
        <v>801010402</v>
      </c>
      <c r="B244" s="190" t="s">
        <v>424</v>
      </c>
      <c r="C244" s="190">
        <v>1415</v>
      </c>
      <c r="D244" s="190" t="s">
        <v>408</v>
      </c>
      <c r="E244" s="191">
        <v>0</v>
      </c>
      <c r="F244" s="193">
        <v>2136.34</v>
      </c>
      <c r="G244" s="193">
        <v>4915.34</v>
      </c>
      <c r="H244" s="191">
        <v>0</v>
      </c>
      <c r="I244" s="193">
        <v>2376.52</v>
      </c>
      <c r="J244" s="193">
        <v>3592.34</v>
      </c>
      <c r="K244" s="193">
        <v>1202.04</v>
      </c>
      <c r="L244" s="193">
        <v>5876.02</v>
      </c>
      <c r="M244" s="191">
        <v>0</v>
      </c>
      <c r="N244" s="193">
        <v>3793.94</v>
      </c>
      <c r="O244" s="193">
        <v>3966.73</v>
      </c>
      <c r="P244" s="193">
        <v>4238.78</v>
      </c>
    </row>
    <row r="245" spans="1:16" x14ac:dyDescent="0.25">
      <c r="A245" s="190">
        <v>801010402</v>
      </c>
      <c r="B245" s="190" t="s">
        <v>425</v>
      </c>
      <c r="C245" s="190">
        <v>1415</v>
      </c>
      <c r="D245" s="190" t="s">
        <v>408</v>
      </c>
      <c r="E245" s="191">
        <v>0</v>
      </c>
      <c r="F245" s="193">
        <v>1091.7</v>
      </c>
      <c r="G245" s="193">
        <v>2529.44</v>
      </c>
      <c r="H245" s="191">
        <v>0</v>
      </c>
      <c r="I245" s="191">
        <v>845.18</v>
      </c>
      <c r="J245" s="193">
        <v>1377.46</v>
      </c>
      <c r="K245" s="191">
        <v>581.69000000000005</v>
      </c>
      <c r="L245" s="193">
        <v>2653.08</v>
      </c>
      <c r="M245" s="191">
        <v>0</v>
      </c>
      <c r="N245" s="193">
        <v>1456.44</v>
      </c>
      <c r="O245" s="193">
        <v>1633.98</v>
      </c>
      <c r="P245" s="193">
        <v>1725.47</v>
      </c>
    </row>
    <row r="246" spans="1:16" x14ac:dyDescent="0.25">
      <c r="A246" s="190">
        <v>801010402</v>
      </c>
      <c r="B246" s="190" t="s">
        <v>426</v>
      </c>
      <c r="C246" s="190">
        <v>1415</v>
      </c>
      <c r="D246" s="190" t="s">
        <v>408</v>
      </c>
      <c r="E246" s="191">
        <v>0</v>
      </c>
      <c r="F246" s="193">
        <v>2732.38</v>
      </c>
      <c r="G246" s="193">
        <v>6383.38</v>
      </c>
      <c r="H246" s="191">
        <v>0</v>
      </c>
      <c r="I246" s="193">
        <v>3215.59</v>
      </c>
      <c r="J246" s="193">
        <v>4844.82</v>
      </c>
      <c r="K246" s="193">
        <v>4266.49</v>
      </c>
      <c r="L246" s="193">
        <v>5659.01</v>
      </c>
      <c r="M246" s="191">
        <v>0</v>
      </c>
      <c r="N246" s="193">
        <v>3495.27</v>
      </c>
      <c r="O246" s="193">
        <v>3521.09</v>
      </c>
      <c r="P246" s="193">
        <v>3915.33</v>
      </c>
    </row>
    <row r="247" spans="1:16" x14ac:dyDescent="0.25">
      <c r="A247" s="190">
        <v>801010402</v>
      </c>
      <c r="B247" s="190" t="s">
        <v>427</v>
      </c>
      <c r="C247" s="190">
        <v>1415</v>
      </c>
      <c r="D247" s="190" t="s">
        <v>408</v>
      </c>
      <c r="E247" s="191">
        <v>0</v>
      </c>
      <c r="F247" s="193">
        <v>1849.34</v>
      </c>
      <c r="G247" s="193">
        <v>3698.68</v>
      </c>
      <c r="H247" s="191">
        <v>0</v>
      </c>
      <c r="I247" s="193">
        <v>1740.63</v>
      </c>
      <c r="J247" s="193">
        <v>1739.1</v>
      </c>
      <c r="K247" s="193">
        <v>3357.94</v>
      </c>
      <c r="L247" s="193">
        <v>3876.65</v>
      </c>
      <c r="M247" s="191">
        <v>0</v>
      </c>
      <c r="N247" s="193">
        <v>2313.04</v>
      </c>
      <c r="O247" s="193">
        <v>2328.9</v>
      </c>
      <c r="P247" s="193">
        <v>2631.08</v>
      </c>
    </row>
    <row r="248" spans="1:16" x14ac:dyDescent="0.25">
      <c r="A248" s="190">
        <v>801010402</v>
      </c>
      <c r="B248" s="190" t="s">
        <v>428</v>
      </c>
      <c r="C248" s="190">
        <v>1415</v>
      </c>
      <c r="D248" s="190" t="s">
        <v>408</v>
      </c>
      <c r="E248" s="191">
        <v>0</v>
      </c>
      <c r="F248" s="193">
        <v>2596.3200000000002</v>
      </c>
      <c r="G248" s="193">
        <v>5336.58</v>
      </c>
      <c r="H248" s="191">
        <v>0</v>
      </c>
      <c r="I248" s="193">
        <v>2432.4899999999998</v>
      </c>
      <c r="J248" s="193">
        <v>2469.2399999999998</v>
      </c>
      <c r="K248" s="193">
        <v>4650.1499999999996</v>
      </c>
      <c r="L248" s="193">
        <v>5263.38</v>
      </c>
      <c r="M248" s="191">
        <v>0</v>
      </c>
      <c r="N248" s="193">
        <v>3070.8</v>
      </c>
      <c r="O248" s="193">
        <v>3156.34</v>
      </c>
      <c r="P248" s="193">
        <v>3514.05</v>
      </c>
    </row>
    <row r="249" spans="1:16" x14ac:dyDescent="0.25">
      <c r="A249" s="190">
        <v>801010402</v>
      </c>
      <c r="B249" s="190" t="s">
        <v>429</v>
      </c>
      <c r="C249" s="190">
        <v>1415</v>
      </c>
      <c r="D249" s="190" t="s">
        <v>408</v>
      </c>
      <c r="E249" s="191">
        <v>0</v>
      </c>
      <c r="F249" s="193">
        <v>1423.96</v>
      </c>
      <c r="G249" s="193">
        <v>3014.26</v>
      </c>
      <c r="H249" s="191">
        <v>0</v>
      </c>
      <c r="I249" s="193">
        <v>1515.55</v>
      </c>
      <c r="J249" s="193">
        <v>1515.55</v>
      </c>
      <c r="K249" s="193">
        <v>2928.14</v>
      </c>
      <c r="L249" s="193">
        <v>2814.6</v>
      </c>
      <c r="M249" s="191">
        <v>0</v>
      </c>
      <c r="N249" s="193">
        <v>1493.52</v>
      </c>
      <c r="O249" s="193">
        <v>1536.32</v>
      </c>
      <c r="P249" s="193">
        <v>1833.58</v>
      </c>
    </row>
    <row r="250" spans="1:16" x14ac:dyDescent="0.25">
      <c r="A250" s="190">
        <v>801010402</v>
      </c>
      <c r="B250" s="190" t="s">
        <v>430</v>
      </c>
      <c r="C250" s="190">
        <v>1415</v>
      </c>
      <c r="D250" s="190" t="s">
        <v>408</v>
      </c>
      <c r="E250" s="191">
        <v>0</v>
      </c>
      <c r="F250" s="193">
        <v>1910.37</v>
      </c>
      <c r="G250" s="193">
        <v>4090.22</v>
      </c>
      <c r="H250" s="191">
        <v>0</v>
      </c>
      <c r="I250" s="193">
        <v>1804.44</v>
      </c>
      <c r="J250" s="193">
        <v>1804.44</v>
      </c>
      <c r="K250" s="193">
        <v>3656.55</v>
      </c>
      <c r="L250" s="193">
        <v>4102.99</v>
      </c>
      <c r="M250" s="191">
        <v>0</v>
      </c>
      <c r="N250" s="193">
        <v>2636.42</v>
      </c>
      <c r="O250" s="193">
        <v>2618.98</v>
      </c>
      <c r="P250" s="193">
        <v>2915.77</v>
      </c>
    </row>
    <row r="251" spans="1:16" x14ac:dyDescent="0.25">
      <c r="A251" s="190">
        <v>801010402</v>
      </c>
      <c r="B251" s="190" t="s">
        <v>431</v>
      </c>
      <c r="C251" s="190">
        <v>1415</v>
      </c>
      <c r="D251" s="190" t="s">
        <v>408</v>
      </c>
      <c r="E251" s="191">
        <v>0</v>
      </c>
      <c r="F251" s="193">
        <v>2065.0100000000002</v>
      </c>
      <c r="G251" s="193">
        <v>4243.33</v>
      </c>
      <c r="H251" s="191">
        <v>0</v>
      </c>
      <c r="I251" s="193">
        <v>2028.27</v>
      </c>
      <c r="J251" s="193">
        <v>2028.27</v>
      </c>
      <c r="K251" s="193">
        <v>3853.4</v>
      </c>
      <c r="L251" s="193">
        <v>4293.21</v>
      </c>
      <c r="M251" s="191">
        <v>0</v>
      </c>
      <c r="N251" s="193">
        <v>2793.35</v>
      </c>
      <c r="O251" s="193">
        <v>2791.76</v>
      </c>
      <c r="P251" s="193">
        <v>3113.74</v>
      </c>
    </row>
    <row r="252" spans="1:16" x14ac:dyDescent="0.25">
      <c r="A252" s="190">
        <v>801010402</v>
      </c>
      <c r="B252" s="190" t="s">
        <v>432</v>
      </c>
      <c r="C252" s="190">
        <v>1415</v>
      </c>
      <c r="D252" s="190" t="s">
        <v>408</v>
      </c>
      <c r="E252" s="191">
        <v>0</v>
      </c>
      <c r="F252" s="193">
        <v>2751.87</v>
      </c>
      <c r="G252" s="193">
        <v>5796.18</v>
      </c>
      <c r="H252" s="191">
        <v>0</v>
      </c>
      <c r="I252" s="193">
        <v>3041.26</v>
      </c>
      <c r="J252" s="193">
        <v>3045.84</v>
      </c>
      <c r="K252" s="193">
        <v>5495.1</v>
      </c>
      <c r="L252" s="193">
        <v>6301.34</v>
      </c>
      <c r="M252" s="191">
        <v>0</v>
      </c>
      <c r="N252" s="193">
        <v>3607.19</v>
      </c>
      <c r="O252" s="193">
        <v>3656.34</v>
      </c>
      <c r="P252" s="193">
        <v>3999.09</v>
      </c>
    </row>
    <row r="253" spans="1:16" x14ac:dyDescent="0.25">
      <c r="A253" s="190">
        <v>801010402</v>
      </c>
      <c r="B253" s="190" t="s">
        <v>433</v>
      </c>
      <c r="C253" s="190">
        <v>1415</v>
      </c>
      <c r="D253" s="190" t="s">
        <v>408</v>
      </c>
      <c r="E253" s="191">
        <v>0</v>
      </c>
      <c r="F253" s="193">
        <v>1502.43</v>
      </c>
      <c r="G253" s="193">
        <v>3111.49</v>
      </c>
      <c r="H253" s="191">
        <v>0</v>
      </c>
      <c r="I253" s="193">
        <v>1744.08</v>
      </c>
      <c r="J253" s="193">
        <v>1744.08</v>
      </c>
      <c r="K253" s="193">
        <v>3162.6</v>
      </c>
      <c r="L253" s="193">
        <v>3821.87</v>
      </c>
      <c r="M253" s="191">
        <v>0</v>
      </c>
      <c r="N253" s="193">
        <v>2354.7800000000002</v>
      </c>
      <c r="O253" s="193">
        <v>2354.7800000000002</v>
      </c>
      <c r="P253" s="193">
        <v>2354.7800000000002</v>
      </c>
    </row>
    <row r="254" spans="1:16" x14ac:dyDescent="0.25">
      <c r="A254" s="190">
        <v>801010402</v>
      </c>
      <c r="B254" s="190" t="s">
        <v>434</v>
      </c>
      <c r="C254" s="190">
        <v>1415</v>
      </c>
      <c r="D254" s="190" t="s">
        <v>408</v>
      </c>
      <c r="E254" s="191">
        <v>0</v>
      </c>
      <c r="F254" s="193">
        <v>1219.56</v>
      </c>
      <c r="G254" s="193">
        <v>2580.34</v>
      </c>
      <c r="H254" s="191">
        <v>0</v>
      </c>
      <c r="I254" s="193">
        <v>1263.3</v>
      </c>
      <c r="J254" s="193">
        <v>1263.3</v>
      </c>
      <c r="K254" s="193">
        <v>2388.13</v>
      </c>
      <c r="L254" s="193">
        <v>2981.74</v>
      </c>
      <c r="M254" s="191">
        <v>0</v>
      </c>
      <c r="N254" s="193">
        <v>1915.69</v>
      </c>
      <c r="O254" s="193">
        <v>1898.26</v>
      </c>
      <c r="P254" s="193">
        <v>1898.26</v>
      </c>
    </row>
    <row r="255" spans="1:16" x14ac:dyDescent="0.25">
      <c r="A255" s="190">
        <v>801010402</v>
      </c>
      <c r="B255" s="190" t="s">
        <v>435</v>
      </c>
      <c r="C255" s="190">
        <v>1415</v>
      </c>
      <c r="D255" s="190" t="s">
        <v>408</v>
      </c>
      <c r="E255" s="191">
        <v>0</v>
      </c>
      <c r="F255" s="193">
        <v>1018.56</v>
      </c>
      <c r="G255" s="191">
        <v>539.9</v>
      </c>
      <c r="H255" s="191">
        <v>0</v>
      </c>
      <c r="I255" s="191">
        <v>561.34</v>
      </c>
      <c r="J255" s="191">
        <v>626.34</v>
      </c>
      <c r="K255" s="193">
        <v>1261.9100000000001</v>
      </c>
      <c r="L255" s="193">
        <v>1418.78</v>
      </c>
      <c r="M255" s="191">
        <v>0</v>
      </c>
      <c r="N255" s="191">
        <v>937.66</v>
      </c>
      <c r="O255" s="191">
        <v>944</v>
      </c>
      <c r="P255" s="191">
        <v>944</v>
      </c>
    </row>
    <row r="256" spans="1:16" x14ac:dyDescent="0.25">
      <c r="A256" s="190">
        <v>801010402</v>
      </c>
      <c r="B256" s="190" t="s">
        <v>436</v>
      </c>
      <c r="C256" s="190">
        <v>1415</v>
      </c>
      <c r="D256" s="190" t="s">
        <v>408</v>
      </c>
      <c r="E256" s="191">
        <v>0</v>
      </c>
      <c r="F256" s="193">
        <v>1221.96</v>
      </c>
      <c r="G256" s="193">
        <v>2510.94</v>
      </c>
      <c r="H256" s="191">
        <v>0</v>
      </c>
      <c r="I256" s="193">
        <v>1278.6099999999999</v>
      </c>
      <c r="J256" s="193">
        <v>1278.6099999999999</v>
      </c>
      <c r="K256" s="193">
        <v>2422.9</v>
      </c>
      <c r="L256" s="193">
        <v>2141.9899999999998</v>
      </c>
      <c r="M256" s="191">
        <v>0</v>
      </c>
      <c r="N256" s="193">
        <v>1603.42</v>
      </c>
      <c r="O256" s="193">
        <v>1536.84</v>
      </c>
      <c r="P256" s="193">
        <v>1536.84</v>
      </c>
    </row>
    <row r="257" spans="1:16" x14ac:dyDescent="0.25">
      <c r="A257" s="190">
        <v>801010402</v>
      </c>
      <c r="B257" s="190" t="s">
        <v>437</v>
      </c>
      <c r="C257" s="190">
        <v>1415</v>
      </c>
      <c r="D257" s="190" t="s">
        <v>408</v>
      </c>
      <c r="E257" s="191">
        <v>0</v>
      </c>
      <c r="F257" s="193">
        <v>1263.8900000000001</v>
      </c>
      <c r="G257" s="193">
        <v>2675.71</v>
      </c>
      <c r="H257" s="191">
        <v>0</v>
      </c>
      <c r="I257" s="193">
        <v>1427.39</v>
      </c>
      <c r="J257" s="193">
        <v>1416.4</v>
      </c>
      <c r="K257" s="193">
        <v>3401.81</v>
      </c>
      <c r="L257" s="193">
        <v>2435.0500000000002</v>
      </c>
      <c r="M257" s="191">
        <v>0</v>
      </c>
      <c r="N257" s="193">
        <v>1704.82</v>
      </c>
      <c r="O257" s="193">
        <v>1727.32</v>
      </c>
      <c r="P257" s="193">
        <v>2794.72</v>
      </c>
    </row>
    <row r="258" spans="1:16" x14ac:dyDescent="0.25">
      <c r="A258" s="190">
        <v>801010402</v>
      </c>
      <c r="B258" s="190" t="s">
        <v>407</v>
      </c>
      <c r="C258" s="190">
        <v>1416</v>
      </c>
      <c r="D258" s="190" t="s">
        <v>408</v>
      </c>
      <c r="E258" s="191">
        <v>0</v>
      </c>
      <c r="F258" s="193">
        <v>3218.55</v>
      </c>
      <c r="G258" s="193">
        <v>11441.43</v>
      </c>
      <c r="H258" s="193">
        <v>6981.72</v>
      </c>
      <c r="I258" s="193">
        <v>7320.02</v>
      </c>
      <c r="J258" s="193">
        <v>7333.12</v>
      </c>
      <c r="K258" s="193">
        <v>3862.02</v>
      </c>
      <c r="L258" s="193">
        <v>18342.849999999999</v>
      </c>
      <c r="M258" s="193">
        <v>6239.42</v>
      </c>
      <c r="N258" s="193">
        <v>9736.19</v>
      </c>
      <c r="O258" s="193">
        <v>9692.0300000000007</v>
      </c>
      <c r="P258" s="193">
        <v>9705.5499999999993</v>
      </c>
    </row>
    <row r="259" spans="1:16" x14ac:dyDescent="0.25">
      <c r="A259" s="190">
        <v>801010402</v>
      </c>
      <c r="B259" s="190" t="s">
        <v>410</v>
      </c>
      <c r="C259" s="190">
        <v>1416</v>
      </c>
      <c r="D259" s="190" t="s">
        <v>408</v>
      </c>
      <c r="E259" s="191">
        <v>0</v>
      </c>
      <c r="F259" s="193">
        <v>1544.53</v>
      </c>
      <c r="G259" s="193">
        <v>3645.15</v>
      </c>
      <c r="H259" s="193">
        <v>1584.23</v>
      </c>
      <c r="I259" s="193">
        <v>1559.73</v>
      </c>
      <c r="J259" s="193">
        <v>1559.73</v>
      </c>
      <c r="K259" s="191">
        <v>779.87</v>
      </c>
      <c r="L259" s="193">
        <v>3586.67</v>
      </c>
      <c r="M259" s="191">
        <v>0</v>
      </c>
      <c r="N259" s="193">
        <v>2054.66</v>
      </c>
      <c r="O259" s="193">
        <v>2078.44</v>
      </c>
      <c r="P259" s="193">
        <v>2421.21</v>
      </c>
    </row>
    <row r="260" spans="1:16" x14ac:dyDescent="0.25">
      <c r="A260" s="190">
        <v>801010402</v>
      </c>
      <c r="B260" s="190" t="s">
        <v>411</v>
      </c>
      <c r="C260" s="190">
        <v>1416</v>
      </c>
      <c r="D260" s="190" t="s">
        <v>408</v>
      </c>
      <c r="E260" s="191">
        <v>0</v>
      </c>
      <c r="F260" s="193">
        <v>1744.88</v>
      </c>
      <c r="G260" s="193">
        <v>3135.68</v>
      </c>
      <c r="H260" s="193">
        <v>1423.68</v>
      </c>
      <c r="I260" s="193">
        <v>1393.06</v>
      </c>
      <c r="J260" s="193">
        <v>1408.37</v>
      </c>
      <c r="K260" s="191">
        <v>711.84</v>
      </c>
      <c r="L260" s="193">
        <v>3767.75</v>
      </c>
      <c r="M260" s="191">
        <v>0</v>
      </c>
      <c r="N260" s="193">
        <v>1979.54</v>
      </c>
      <c r="O260" s="193">
        <v>1979.54</v>
      </c>
      <c r="P260" s="193">
        <v>2264.9499999999998</v>
      </c>
    </row>
    <row r="261" spans="1:16" x14ac:dyDescent="0.25">
      <c r="A261" s="190">
        <v>801010402</v>
      </c>
      <c r="B261" s="190" t="s">
        <v>412</v>
      </c>
      <c r="C261" s="190">
        <v>1416</v>
      </c>
      <c r="D261" s="190" t="s">
        <v>408</v>
      </c>
      <c r="E261" s="191">
        <v>0</v>
      </c>
      <c r="F261" s="193">
        <v>2150.36</v>
      </c>
      <c r="G261" s="193">
        <v>4002.87</v>
      </c>
      <c r="H261" s="191">
        <v>0</v>
      </c>
      <c r="I261" s="193">
        <v>3601.78</v>
      </c>
      <c r="J261" s="193">
        <v>1783.28</v>
      </c>
      <c r="K261" s="191">
        <v>896.23</v>
      </c>
      <c r="L261" s="193">
        <v>3803.06</v>
      </c>
      <c r="M261" s="191">
        <v>0</v>
      </c>
      <c r="N261" s="193">
        <v>2233.8000000000002</v>
      </c>
      <c r="O261" s="193">
        <v>2236.96</v>
      </c>
      <c r="P261" s="193">
        <v>2502.87</v>
      </c>
    </row>
    <row r="262" spans="1:16" x14ac:dyDescent="0.25">
      <c r="A262" s="190">
        <v>801010402</v>
      </c>
      <c r="B262" s="190" t="s">
        <v>413</v>
      </c>
      <c r="C262" s="190">
        <v>1416</v>
      </c>
      <c r="D262" s="190" t="s">
        <v>408</v>
      </c>
      <c r="E262" s="191">
        <v>0</v>
      </c>
      <c r="F262" s="193">
        <v>1818.73</v>
      </c>
      <c r="G262" s="193">
        <v>3598.86</v>
      </c>
      <c r="H262" s="191">
        <v>0</v>
      </c>
      <c r="I262" s="193">
        <v>3137.84</v>
      </c>
      <c r="J262" s="193">
        <v>1568.92</v>
      </c>
      <c r="K262" s="191">
        <v>715.56</v>
      </c>
      <c r="L262" s="193">
        <v>3586.88</v>
      </c>
      <c r="M262" s="191">
        <v>0</v>
      </c>
      <c r="N262" s="193">
        <v>1756.66</v>
      </c>
      <c r="O262" s="193">
        <v>1734.47</v>
      </c>
      <c r="P262" s="193">
        <v>1978.26</v>
      </c>
    </row>
    <row r="263" spans="1:16" x14ac:dyDescent="0.25">
      <c r="A263" s="190">
        <v>801010402</v>
      </c>
      <c r="B263" s="190" t="s">
        <v>414</v>
      </c>
      <c r="C263" s="190">
        <v>1416</v>
      </c>
      <c r="D263" s="190" t="s">
        <v>408</v>
      </c>
      <c r="E263" s="191">
        <v>0</v>
      </c>
      <c r="F263" s="193">
        <v>1994.34</v>
      </c>
      <c r="G263" s="193">
        <v>3978.79</v>
      </c>
      <c r="H263" s="191">
        <v>0</v>
      </c>
      <c r="I263" s="193">
        <v>3581.83</v>
      </c>
      <c r="J263" s="193">
        <v>1769.72</v>
      </c>
      <c r="K263" s="191">
        <v>905.42</v>
      </c>
      <c r="L263" s="193">
        <v>4529.38</v>
      </c>
      <c r="M263" s="191">
        <v>0</v>
      </c>
      <c r="N263" s="193">
        <v>2430.34</v>
      </c>
      <c r="O263" s="193">
        <v>2439.86</v>
      </c>
      <c r="P263" s="193">
        <v>2642.92</v>
      </c>
    </row>
    <row r="264" spans="1:16" x14ac:dyDescent="0.25">
      <c r="A264" s="190">
        <v>801010402</v>
      </c>
      <c r="B264" s="190" t="s">
        <v>415</v>
      </c>
      <c r="C264" s="190">
        <v>1416</v>
      </c>
      <c r="D264" s="190" t="s">
        <v>408</v>
      </c>
      <c r="E264" s="191">
        <v>0</v>
      </c>
      <c r="F264" s="193">
        <v>1501.97</v>
      </c>
      <c r="G264" s="193">
        <v>2788.05</v>
      </c>
      <c r="H264" s="191">
        <v>0</v>
      </c>
      <c r="I264" s="193">
        <v>2465.7600000000002</v>
      </c>
      <c r="J264" s="193">
        <v>1178.53</v>
      </c>
      <c r="K264" s="191">
        <v>586.97</v>
      </c>
      <c r="L264" s="193">
        <v>3116.65</v>
      </c>
      <c r="M264" s="191">
        <v>0</v>
      </c>
      <c r="N264" s="193">
        <v>1750.37</v>
      </c>
      <c r="O264" s="193">
        <v>1790</v>
      </c>
      <c r="P264" s="193">
        <v>1839.72</v>
      </c>
    </row>
    <row r="265" spans="1:16" x14ac:dyDescent="0.25">
      <c r="A265" s="190">
        <v>801010402</v>
      </c>
      <c r="B265" s="190" t="s">
        <v>416</v>
      </c>
      <c r="C265" s="190">
        <v>1416</v>
      </c>
      <c r="D265" s="190" t="s">
        <v>408</v>
      </c>
      <c r="E265" s="191">
        <v>0</v>
      </c>
      <c r="F265" s="193">
        <v>1965.09</v>
      </c>
      <c r="G265" s="193">
        <v>3771.24</v>
      </c>
      <c r="H265" s="191">
        <v>0</v>
      </c>
      <c r="I265" s="193">
        <v>3359.02</v>
      </c>
      <c r="J265" s="193">
        <v>1657.72</v>
      </c>
      <c r="K265" s="191">
        <v>828.86</v>
      </c>
      <c r="L265" s="193">
        <v>4132.2700000000004</v>
      </c>
      <c r="M265" s="191">
        <v>0</v>
      </c>
      <c r="N265" s="193">
        <v>2211.6</v>
      </c>
      <c r="O265" s="193">
        <v>2267.08</v>
      </c>
      <c r="P265" s="193">
        <v>2616.11</v>
      </c>
    </row>
    <row r="266" spans="1:16" x14ac:dyDescent="0.25">
      <c r="A266" s="190">
        <v>801010402</v>
      </c>
      <c r="B266" s="190" t="s">
        <v>417</v>
      </c>
      <c r="C266" s="190">
        <v>1416</v>
      </c>
      <c r="D266" s="190" t="s">
        <v>408</v>
      </c>
      <c r="E266" s="191">
        <v>0</v>
      </c>
      <c r="F266" s="193">
        <v>2654.03</v>
      </c>
      <c r="G266" s="193">
        <v>4543.5600000000004</v>
      </c>
      <c r="H266" s="191">
        <v>0</v>
      </c>
      <c r="I266" s="193">
        <v>4784.92</v>
      </c>
      <c r="J266" s="193">
        <v>2449.12</v>
      </c>
      <c r="K266" s="193">
        <v>1224.56</v>
      </c>
      <c r="L266" s="193">
        <v>6179.55</v>
      </c>
      <c r="M266" s="191">
        <v>0</v>
      </c>
      <c r="N266" s="193">
        <v>2941.4</v>
      </c>
      <c r="O266" s="193">
        <v>2868.48</v>
      </c>
      <c r="P266" s="193">
        <v>3200.03</v>
      </c>
    </row>
    <row r="267" spans="1:16" x14ac:dyDescent="0.25">
      <c r="A267" s="190">
        <v>801010402</v>
      </c>
      <c r="B267" s="190" t="s">
        <v>419</v>
      </c>
      <c r="C267" s="190">
        <v>1416</v>
      </c>
      <c r="D267" s="190" t="s">
        <v>408</v>
      </c>
      <c r="E267" s="191">
        <v>0</v>
      </c>
      <c r="F267" s="193">
        <v>2708.02</v>
      </c>
      <c r="G267" s="193">
        <v>4996.75</v>
      </c>
      <c r="H267" s="191">
        <v>0</v>
      </c>
      <c r="I267" s="193">
        <v>2144.63</v>
      </c>
      <c r="J267" s="193">
        <v>3216.95</v>
      </c>
      <c r="K267" s="193">
        <v>1072.32</v>
      </c>
      <c r="L267" s="193">
        <v>5093.95</v>
      </c>
      <c r="M267" s="191">
        <v>0</v>
      </c>
      <c r="N267" s="193">
        <v>2424</v>
      </c>
      <c r="O267" s="193">
        <v>2447.48</v>
      </c>
      <c r="P267" s="193">
        <v>2766.81</v>
      </c>
    </row>
    <row r="268" spans="1:16" x14ac:dyDescent="0.25">
      <c r="A268" s="190">
        <v>801010402</v>
      </c>
      <c r="B268" s="190" t="s">
        <v>420</v>
      </c>
      <c r="C268" s="190">
        <v>1416</v>
      </c>
      <c r="D268" s="190" t="s">
        <v>408</v>
      </c>
      <c r="E268" s="191">
        <v>0</v>
      </c>
      <c r="F268" s="193">
        <v>3377.67</v>
      </c>
      <c r="G268" s="193">
        <v>6250.9</v>
      </c>
      <c r="H268" s="191">
        <v>0</v>
      </c>
      <c r="I268" s="193">
        <v>2610.7800000000002</v>
      </c>
      <c r="J268" s="193">
        <v>2616.91</v>
      </c>
      <c r="K268" s="193">
        <v>1307.69</v>
      </c>
      <c r="L268" s="193">
        <v>6376.69</v>
      </c>
      <c r="M268" s="191">
        <v>0</v>
      </c>
      <c r="N268" s="193">
        <v>3121.18</v>
      </c>
      <c r="O268" s="193">
        <v>3168.73</v>
      </c>
      <c r="P268" s="193">
        <v>3592.77</v>
      </c>
    </row>
    <row r="269" spans="1:16" x14ac:dyDescent="0.25">
      <c r="A269" s="190">
        <v>801010402</v>
      </c>
      <c r="B269" s="190" t="s">
        <v>421</v>
      </c>
      <c r="C269" s="190">
        <v>1416</v>
      </c>
      <c r="D269" s="190" t="s">
        <v>408</v>
      </c>
      <c r="E269" s="191">
        <v>0</v>
      </c>
      <c r="F269" s="193">
        <v>2217.0500000000002</v>
      </c>
      <c r="G269" s="193">
        <v>4140.04</v>
      </c>
      <c r="H269" s="191">
        <v>0</v>
      </c>
      <c r="I269" s="193">
        <v>1838.4</v>
      </c>
      <c r="J269" s="193">
        <v>2730.04</v>
      </c>
      <c r="K269" s="191">
        <v>919.2</v>
      </c>
      <c r="L269" s="193">
        <v>4733.66</v>
      </c>
      <c r="M269" s="191">
        <v>0</v>
      </c>
      <c r="N269" s="193">
        <v>2275</v>
      </c>
      <c r="O269" s="193">
        <v>2276.59</v>
      </c>
      <c r="P269" s="193">
        <v>2606.5100000000002</v>
      </c>
    </row>
    <row r="270" spans="1:16" x14ac:dyDescent="0.25">
      <c r="A270" s="190">
        <v>801010402</v>
      </c>
      <c r="B270" s="190" t="s">
        <v>422</v>
      </c>
      <c r="C270" s="190">
        <v>1416</v>
      </c>
      <c r="D270" s="190" t="s">
        <v>408</v>
      </c>
      <c r="E270" s="191">
        <v>0</v>
      </c>
      <c r="F270" s="193">
        <v>2922.93</v>
      </c>
      <c r="G270" s="193">
        <v>5492.42</v>
      </c>
      <c r="H270" s="191">
        <v>0</v>
      </c>
      <c r="I270" s="193">
        <v>2346.75</v>
      </c>
      <c r="J270" s="193">
        <v>3501.75</v>
      </c>
      <c r="K270" s="193">
        <v>1158.06</v>
      </c>
      <c r="L270" s="193">
        <v>5775.03</v>
      </c>
      <c r="M270" s="191">
        <v>0</v>
      </c>
      <c r="N270" s="193">
        <v>3226.09</v>
      </c>
      <c r="O270" s="193">
        <v>3283.16</v>
      </c>
      <c r="P270" s="193">
        <v>3428.72</v>
      </c>
    </row>
    <row r="271" spans="1:16" x14ac:dyDescent="0.25">
      <c r="A271" s="190">
        <v>801010402</v>
      </c>
      <c r="B271" s="190" t="s">
        <v>423</v>
      </c>
      <c r="C271" s="190">
        <v>1416</v>
      </c>
      <c r="D271" s="190" t="s">
        <v>408</v>
      </c>
      <c r="E271" s="191">
        <v>0</v>
      </c>
      <c r="F271" s="193">
        <v>1824.29</v>
      </c>
      <c r="G271" s="193">
        <v>3378.85</v>
      </c>
      <c r="H271" s="191">
        <v>0</v>
      </c>
      <c r="I271" s="193">
        <v>1480.11</v>
      </c>
      <c r="J271" s="193">
        <v>2220.17</v>
      </c>
      <c r="K271" s="191">
        <v>740.06</v>
      </c>
      <c r="L271" s="193">
        <v>3819.8</v>
      </c>
      <c r="M271" s="191">
        <v>0</v>
      </c>
      <c r="N271" s="193">
        <v>2103.8200000000002</v>
      </c>
      <c r="O271" s="193">
        <v>2119.65</v>
      </c>
      <c r="P271" s="193">
        <v>2493.5100000000002</v>
      </c>
    </row>
    <row r="272" spans="1:16" x14ac:dyDescent="0.25">
      <c r="A272" s="190">
        <v>801010402</v>
      </c>
      <c r="B272" s="190" t="s">
        <v>424</v>
      </c>
      <c r="C272" s="190">
        <v>1416</v>
      </c>
      <c r="D272" s="190" t="s">
        <v>408</v>
      </c>
      <c r="E272" s="191">
        <v>0</v>
      </c>
      <c r="F272" s="193">
        <v>2584.98</v>
      </c>
      <c r="G272" s="193">
        <v>5460.06</v>
      </c>
      <c r="H272" s="191">
        <v>0</v>
      </c>
      <c r="I272" s="193">
        <v>2376.52</v>
      </c>
      <c r="J272" s="193">
        <v>3592.34</v>
      </c>
      <c r="K272" s="193">
        <v>1202.04</v>
      </c>
      <c r="L272" s="193">
        <v>5876.02</v>
      </c>
      <c r="M272" s="191">
        <v>0</v>
      </c>
      <c r="N272" s="193">
        <v>3793.94</v>
      </c>
      <c r="O272" s="193">
        <v>3966.73</v>
      </c>
      <c r="P272" s="193">
        <v>4238.78</v>
      </c>
    </row>
    <row r="273" spans="1:16" x14ac:dyDescent="0.25">
      <c r="A273" s="190">
        <v>801010402</v>
      </c>
      <c r="B273" s="190" t="s">
        <v>425</v>
      </c>
      <c r="C273" s="190">
        <v>1416</v>
      </c>
      <c r="D273" s="190" t="s">
        <v>408</v>
      </c>
      <c r="E273" s="191">
        <v>0</v>
      </c>
      <c r="F273" s="193">
        <v>1320.96</v>
      </c>
      <c r="G273" s="193">
        <v>2828.41</v>
      </c>
      <c r="H273" s="191">
        <v>0</v>
      </c>
      <c r="I273" s="191">
        <v>845.18</v>
      </c>
      <c r="J273" s="193">
        <v>1377.45</v>
      </c>
      <c r="K273" s="191">
        <v>581.69000000000005</v>
      </c>
      <c r="L273" s="193">
        <v>2653.08</v>
      </c>
      <c r="M273" s="191">
        <v>0</v>
      </c>
      <c r="N273" s="193">
        <v>1456.44</v>
      </c>
      <c r="O273" s="193">
        <v>1633.98</v>
      </c>
      <c r="P273" s="193">
        <v>1725.47</v>
      </c>
    </row>
    <row r="274" spans="1:16" x14ac:dyDescent="0.25">
      <c r="A274" s="190">
        <v>801010402</v>
      </c>
      <c r="B274" s="190" t="s">
        <v>426</v>
      </c>
      <c r="C274" s="190">
        <v>1416</v>
      </c>
      <c r="D274" s="190" t="s">
        <v>408</v>
      </c>
      <c r="E274" s="191">
        <v>0</v>
      </c>
      <c r="F274" s="193">
        <v>3306.18</v>
      </c>
      <c r="G274" s="193">
        <v>5896.23</v>
      </c>
      <c r="H274" s="191">
        <v>0</v>
      </c>
      <c r="I274" s="193">
        <v>3215.59</v>
      </c>
      <c r="J274" s="193">
        <v>4844.82</v>
      </c>
      <c r="K274" s="193">
        <v>4266.49</v>
      </c>
      <c r="L274" s="193">
        <v>5659.01</v>
      </c>
      <c r="M274" s="191">
        <v>0</v>
      </c>
      <c r="N274" s="193">
        <v>3495.27</v>
      </c>
      <c r="O274" s="193">
        <v>3521.09</v>
      </c>
      <c r="P274" s="193">
        <v>3915.33</v>
      </c>
    </row>
    <row r="275" spans="1:16" x14ac:dyDescent="0.25">
      <c r="A275" s="190">
        <v>801010402</v>
      </c>
      <c r="B275" s="190" t="s">
        <v>427</v>
      </c>
      <c r="C275" s="190">
        <v>1416</v>
      </c>
      <c r="D275" s="190" t="s">
        <v>408</v>
      </c>
      <c r="E275" s="191">
        <v>0</v>
      </c>
      <c r="F275" s="193">
        <v>2237.6999999999998</v>
      </c>
      <c r="G275" s="193">
        <v>4110.84</v>
      </c>
      <c r="H275" s="191">
        <v>0</v>
      </c>
      <c r="I275" s="193">
        <v>1740.63</v>
      </c>
      <c r="J275" s="193">
        <v>1739.1</v>
      </c>
      <c r="K275" s="193">
        <v>3357.94</v>
      </c>
      <c r="L275" s="193">
        <v>3876.65</v>
      </c>
      <c r="M275" s="191">
        <v>0</v>
      </c>
      <c r="N275" s="193">
        <v>2313.04</v>
      </c>
      <c r="O275" s="193">
        <v>2328.9</v>
      </c>
      <c r="P275" s="193">
        <v>2631.08</v>
      </c>
    </row>
    <row r="276" spans="1:16" x14ac:dyDescent="0.25">
      <c r="A276" s="190">
        <v>801010402</v>
      </c>
      <c r="B276" s="190" t="s">
        <v>428</v>
      </c>
      <c r="C276" s="190">
        <v>1416</v>
      </c>
      <c r="D276" s="190" t="s">
        <v>408</v>
      </c>
      <c r="E276" s="191">
        <v>0</v>
      </c>
      <c r="F276" s="193">
        <v>3141.55</v>
      </c>
      <c r="G276" s="193">
        <v>5946.43</v>
      </c>
      <c r="H276" s="191">
        <v>0</v>
      </c>
      <c r="I276" s="193">
        <v>2432.4899999999998</v>
      </c>
      <c r="J276" s="193">
        <v>2469.2399999999998</v>
      </c>
      <c r="K276" s="193">
        <v>4650.1499999999996</v>
      </c>
      <c r="L276" s="193">
        <v>5263.38</v>
      </c>
      <c r="M276" s="191">
        <v>0</v>
      </c>
      <c r="N276" s="193">
        <v>3070.8</v>
      </c>
      <c r="O276" s="193">
        <v>3156.34</v>
      </c>
      <c r="P276" s="193">
        <v>3514.05</v>
      </c>
    </row>
    <row r="277" spans="1:16" x14ac:dyDescent="0.25">
      <c r="A277" s="190">
        <v>801010402</v>
      </c>
      <c r="B277" s="190" t="s">
        <v>429</v>
      </c>
      <c r="C277" s="190">
        <v>1416</v>
      </c>
      <c r="D277" s="190" t="s">
        <v>408</v>
      </c>
      <c r="E277" s="191">
        <v>0</v>
      </c>
      <c r="F277" s="193">
        <v>1722.99</v>
      </c>
      <c r="G277" s="193">
        <v>3331.56</v>
      </c>
      <c r="H277" s="191">
        <v>0</v>
      </c>
      <c r="I277" s="193">
        <v>1515.55</v>
      </c>
      <c r="J277" s="193">
        <v>1515.54</v>
      </c>
      <c r="K277" s="193">
        <v>2928.14</v>
      </c>
      <c r="L277" s="193">
        <v>2814.6</v>
      </c>
      <c r="M277" s="191">
        <v>0</v>
      </c>
      <c r="N277" s="193">
        <v>1493.52</v>
      </c>
      <c r="O277" s="193">
        <v>1536.32</v>
      </c>
      <c r="P277" s="193">
        <v>1833.58</v>
      </c>
    </row>
    <row r="278" spans="1:16" x14ac:dyDescent="0.25">
      <c r="A278" s="190">
        <v>801010402</v>
      </c>
      <c r="B278" s="190" t="s">
        <v>430</v>
      </c>
      <c r="C278" s="190">
        <v>1416</v>
      </c>
      <c r="D278" s="190" t="s">
        <v>408</v>
      </c>
      <c r="E278" s="191">
        <v>0</v>
      </c>
      <c r="F278" s="193">
        <v>2311.5500000000002</v>
      </c>
      <c r="G278" s="193">
        <v>5970.25</v>
      </c>
      <c r="H278" s="191">
        <v>0</v>
      </c>
      <c r="I278" s="193">
        <v>1804.44</v>
      </c>
      <c r="J278" s="193">
        <v>1804.44</v>
      </c>
      <c r="K278" s="193">
        <v>3656.55</v>
      </c>
      <c r="L278" s="193">
        <v>4102.99</v>
      </c>
      <c r="M278" s="191">
        <v>0</v>
      </c>
      <c r="N278" s="193">
        <v>2636.42</v>
      </c>
      <c r="O278" s="193">
        <v>2618.98</v>
      </c>
      <c r="P278" s="193">
        <v>2915.77</v>
      </c>
    </row>
    <row r="279" spans="1:16" x14ac:dyDescent="0.25">
      <c r="A279" s="190">
        <v>801010402</v>
      </c>
      <c r="B279" s="190" t="s">
        <v>431</v>
      </c>
      <c r="C279" s="190">
        <v>1416</v>
      </c>
      <c r="D279" s="190" t="s">
        <v>408</v>
      </c>
      <c r="E279" s="191">
        <v>0</v>
      </c>
      <c r="F279" s="193">
        <v>2498.67</v>
      </c>
      <c r="G279" s="193">
        <v>5818.2</v>
      </c>
      <c r="H279" s="191">
        <v>0</v>
      </c>
      <c r="I279" s="193">
        <v>2028.27</v>
      </c>
      <c r="J279" s="193">
        <v>2028.26</v>
      </c>
      <c r="K279" s="193">
        <v>3853.4</v>
      </c>
      <c r="L279" s="193">
        <v>4293.21</v>
      </c>
      <c r="M279" s="191">
        <v>0</v>
      </c>
      <c r="N279" s="193">
        <v>2793.35</v>
      </c>
      <c r="O279" s="193">
        <v>2791.76</v>
      </c>
      <c r="P279" s="193">
        <v>3113.74</v>
      </c>
    </row>
    <row r="280" spans="1:16" x14ac:dyDescent="0.25">
      <c r="A280" s="190">
        <v>801010402</v>
      </c>
      <c r="B280" s="190" t="s">
        <v>432</v>
      </c>
      <c r="C280" s="190">
        <v>1416</v>
      </c>
      <c r="D280" s="190" t="s">
        <v>408</v>
      </c>
      <c r="E280" s="191">
        <v>0</v>
      </c>
      <c r="F280" s="193">
        <v>3329.76</v>
      </c>
      <c r="G280" s="193">
        <v>6401.73</v>
      </c>
      <c r="H280" s="191">
        <v>0</v>
      </c>
      <c r="I280" s="193">
        <v>3041.26</v>
      </c>
      <c r="J280" s="193">
        <v>3045.84</v>
      </c>
      <c r="K280" s="193">
        <v>5495.1</v>
      </c>
      <c r="L280" s="193">
        <v>6301.34</v>
      </c>
      <c r="M280" s="191">
        <v>0</v>
      </c>
      <c r="N280" s="193">
        <v>3607.19</v>
      </c>
      <c r="O280" s="193">
        <v>3656.34</v>
      </c>
      <c r="P280" s="193">
        <v>3999.09</v>
      </c>
    </row>
    <row r="281" spans="1:16" x14ac:dyDescent="0.25">
      <c r="A281" s="190">
        <v>801010402</v>
      </c>
      <c r="B281" s="190" t="s">
        <v>433</v>
      </c>
      <c r="C281" s="190">
        <v>1416</v>
      </c>
      <c r="D281" s="190" t="s">
        <v>408</v>
      </c>
      <c r="E281" s="191">
        <v>0</v>
      </c>
      <c r="F281" s="193">
        <v>1817.95</v>
      </c>
      <c r="G281" s="193">
        <v>3424.37</v>
      </c>
      <c r="H281" s="191">
        <v>0</v>
      </c>
      <c r="I281" s="193">
        <v>1744.08</v>
      </c>
      <c r="J281" s="193">
        <v>1744.08</v>
      </c>
      <c r="K281" s="193">
        <v>3162.6</v>
      </c>
      <c r="L281" s="193">
        <v>3821.87</v>
      </c>
      <c r="M281" s="191">
        <v>0</v>
      </c>
      <c r="N281" s="193">
        <v>2354.7800000000002</v>
      </c>
      <c r="O281" s="193">
        <v>2354.7800000000002</v>
      </c>
      <c r="P281" s="193">
        <v>2354.7800000000002</v>
      </c>
    </row>
    <row r="282" spans="1:16" x14ac:dyDescent="0.25">
      <c r="A282" s="190">
        <v>801010402</v>
      </c>
      <c r="B282" s="190" t="s">
        <v>434</v>
      </c>
      <c r="C282" s="190">
        <v>1416</v>
      </c>
      <c r="D282" s="190" t="s">
        <v>408</v>
      </c>
      <c r="E282" s="191">
        <v>0</v>
      </c>
      <c r="F282" s="193">
        <v>1475.66</v>
      </c>
      <c r="G282" s="193">
        <v>2936.39</v>
      </c>
      <c r="H282" s="191">
        <v>0</v>
      </c>
      <c r="I282" s="193">
        <v>1263.3</v>
      </c>
      <c r="J282" s="193">
        <v>1263.3</v>
      </c>
      <c r="K282" s="193">
        <v>2388.13</v>
      </c>
      <c r="L282" s="193">
        <v>2981.74</v>
      </c>
      <c r="M282" s="191">
        <v>0</v>
      </c>
      <c r="N282" s="193">
        <v>1915.69</v>
      </c>
      <c r="O282" s="193">
        <v>1898.26</v>
      </c>
      <c r="P282" s="193">
        <v>1898.26</v>
      </c>
    </row>
    <row r="283" spans="1:16" x14ac:dyDescent="0.25">
      <c r="A283" s="190">
        <v>801010402</v>
      </c>
      <c r="B283" s="190" t="s">
        <v>435</v>
      </c>
      <c r="C283" s="190">
        <v>1416</v>
      </c>
      <c r="D283" s="190" t="s">
        <v>408</v>
      </c>
      <c r="E283" s="191">
        <v>0</v>
      </c>
      <c r="F283" s="193">
        <v>1660.21</v>
      </c>
      <c r="G283" s="191">
        <v>539.9</v>
      </c>
      <c r="H283" s="191">
        <v>0</v>
      </c>
      <c r="I283" s="191">
        <v>561.34</v>
      </c>
      <c r="J283" s="191">
        <v>626.34</v>
      </c>
      <c r="K283" s="193">
        <v>1261.9100000000001</v>
      </c>
      <c r="L283" s="193">
        <v>1418.78</v>
      </c>
      <c r="M283" s="191">
        <v>0</v>
      </c>
      <c r="N283" s="191">
        <v>937.66</v>
      </c>
      <c r="O283" s="191">
        <v>944</v>
      </c>
      <c r="P283" s="191">
        <v>944</v>
      </c>
    </row>
    <row r="284" spans="1:16" x14ac:dyDescent="0.25">
      <c r="A284" s="190">
        <v>801010402</v>
      </c>
      <c r="B284" s="190" t="s">
        <v>436</v>
      </c>
      <c r="C284" s="190">
        <v>1416</v>
      </c>
      <c r="D284" s="190" t="s">
        <v>408</v>
      </c>
      <c r="E284" s="191">
        <v>0</v>
      </c>
      <c r="F284" s="193">
        <v>1478.57</v>
      </c>
      <c r="G284" s="193">
        <v>2774.3</v>
      </c>
      <c r="H284" s="191">
        <v>0</v>
      </c>
      <c r="I284" s="193">
        <v>1278.6099999999999</v>
      </c>
      <c r="J284" s="193">
        <v>1278.6099999999999</v>
      </c>
      <c r="K284" s="193">
        <v>2422.9</v>
      </c>
      <c r="L284" s="193">
        <v>2141.9899999999998</v>
      </c>
      <c r="M284" s="191">
        <v>0</v>
      </c>
      <c r="N284" s="193">
        <v>1603.42</v>
      </c>
      <c r="O284" s="193">
        <v>1536.84</v>
      </c>
      <c r="P284" s="193">
        <v>1536.84</v>
      </c>
    </row>
    <row r="285" spans="1:16" x14ac:dyDescent="0.25">
      <c r="A285" s="190">
        <v>801010402</v>
      </c>
      <c r="B285" s="190" t="s">
        <v>437</v>
      </c>
      <c r="C285" s="190">
        <v>1416</v>
      </c>
      <c r="D285" s="190" t="s">
        <v>408</v>
      </c>
      <c r="E285" s="191">
        <v>0</v>
      </c>
      <c r="F285" s="193">
        <v>1529.3</v>
      </c>
      <c r="G285" s="193">
        <v>3163.27</v>
      </c>
      <c r="H285" s="191">
        <v>0</v>
      </c>
      <c r="I285" s="193">
        <v>1427.39</v>
      </c>
      <c r="J285" s="193">
        <v>1416.4</v>
      </c>
      <c r="K285" s="193">
        <v>3401.81</v>
      </c>
      <c r="L285" s="193">
        <v>2435.0500000000002</v>
      </c>
      <c r="M285" s="191">
        <v>0</v>
      </c>
      <c r="N285" s="193">
        <v>1704.82</v>
      </c>
      <c r="O285" s="193">
        <v>1727.32</v>
      </c>
      <c r="P285" s="193">
        <v>2794.72</v>
      </c>
    </row>
    <row r="286" spans="1:16" x14ac:dyDescent="0.25">
      <c r="A286" s="190">
        <v>801010402</v>
      </c>
      <c r="B286" s="190" t="s">
        <v>407</v>
      </c>
      <c r="C286" s="190">
        <v>1441</v>
      </c>
      <c r="D286" s="190" t="s">
        <v>408</v>
      </c>
      <c r="E286" s="191">
        <v>0</v>
      </c>
      <c r="F286" s="191">
        <v>0</v>
      </c>
      <c r="G286" s="193">
        <v>1148.21</v>
      </c>
      <c r="H286" s="193">
        <v>1148.32</v>
      </c>
      <c r="I286" s="193">
        <v>1189.27</v>
      </c>
      <c r="J286" s="193">
        <v>1193.1199999999999</v>
      </c>
      <c r="K286" s="191">
        <v>621.49</v>
      </c>
      <c r="L286" s="193">
        <v>2975.45</v>
      </c>
      <c r="M286" s="193">
        <v>1541.28</v>
      </c>
      <c r="N286" s="193">
        <v>1570.18</v>
      </c>
      <c r="O286" s="193">
        <v>1569.24</v>
      </c>
      <c r="P286" s="193">
        <v>1614.76</v>
      </c>
    </row>
    <row r="287" spans="1:16" x14ac:dyDescent="0.25">
      <c r="A287" s="190">
        <v>801010402</v>
      </c>
      <c r="B287" s="190" t="s">
        <v>410</v>
      </c>
      <c r="C287" s="190">
        <v>1441</v>
      </c>
      <c r="D287" s="190" t="s">
        <v>408</v>
      </c>
      <c r="E287" s="191">
        <v>0</v>
      </c>
      <c r="F287" s="191">
        <v>0</v>
      </c>
      <c r="G287" s="191">
        <v>183.77</v>
      </c>
      <c r="H287" s="191">
        <v>183.77</v>
      </c>
      <c r="I287" s="191">
        <v>180.93</v>
      </c>
      <c r="J287" s="191">
        <v>180.93</v>
      </c>
      <c r="K287" s="191">
        <v>90.46</v>
      </c>
      <c r="L287" s="191">
        <v>416.05</v>
      </c>
      <c r="M287" s="191">
        <v>0</v>
      </c>
      <c r="N287" s="191">
        <v>238.34</v>
      </c>
      <c r="O287" s="191">
        <v>241.1</v>
      </c>
      <c r="P287" s="191">
        <v>280.86</v>
      </c>
    </row>
    <row r="288" spans="1:16" x14ac:dyDescent="0.25">
      <c r="A288" s="190">
        <v>801010402</v>
      </c>
      <c r="B288" s="190" t="s">
        <v>411</v>
      </c>
      <c r="C288" s="190">
        <v>1441</v>
      </c>
      <c r="D288" s="190" t="s">
        <v>408</v>
      </c>
      <c r="E288" s="191">
        <v>0</v>
      </c>
      <c r="F288" s="191">
        <v>0</v>
      </c>
      <c r="G288" s="191">
        <v>158.75</v>
      </c>
      <c r="H288" s="191">
        <v>165.14</v>
      </c>
      <c r="I288" s="191">
        <v>161.59</v>
      </c>
      <c r="J288" s="191">
        <v>163.37</v>
      </c>
      <c r="K288" s="191">
        <v>82.57</v>
      </c>
      <c r="L288" s="191">
        <v>437.06</v>
      </c>
      <c r="M288" s="191">
        <v>0</v>
      </c>
      <c r="N288" s="191">
        <v>229.62</v>
      </c>
      <c r="O288" s="191">
        <v>229.62</v>
      </c>
      <c r="P288" s="191">
        <v>262.74</v>
      </c>
    </row>
    <row r="289" spans="1:16" x14ac:dyDescent="0.25">
      <c r="A289" s="190">
        <v>801010402</v>
      </c>
      <c r="B289" s="190" t="s">
        <v>412</v>
      </c>
      <c r="C289" s="190">
        <v>1441</v>
      </c>
      <c r="D289" s="190" t="s">
        <v>408</v>
      </c>
      <c r="E289" s="191">
        <v>0</v>
      </c>
      <c r="F289" s="191">
        <v>0</v>
      </c>
      <c r="G289" s="191">
        <v>217.7</v>
      </c>
      <c r="H289" s="191">
        <v>0</v>
      </c>
      <c r="I289" s="191">
        <v>417.81</v>
      </c>
      <c r="J289" s="191">
        <v>206.86</v>
      </c>
      <c r="K289" s="191">
        <v>103.96</v>
      </c>
      <c r="L289" s="191">
        <v>441.16</v>
      </c>
      <c r="M289" s="191">
        <v>0</v>
      </c>
      <c r="N289" s="191">
        <v>259.12</v>
      </c>
      <c r="O289" s="191">
        <v>259.48</v>
      </c>
      <c r="P289" s="191">
        <v>290.33999999999997</v>
      </c>
    </row>
    <row r="290" spans="1:16" x14ac:dyDescent="0.25">
      <c r="A290" s="190">
        <v>801010402</v>
      </c>
      <c r="B290" s="190" t="s">
        <v>413</v>
      </c>
      <c r="C290" s="190">
        <v>1441</v>
      </c>
      <c r="D290" s="190" t="s">
        <v>408</v>
      </c>
      <c r="E290" s="191">
        <v>0</v>
      </c>
      <c r="F290" s="191">
        <v>0</v>
      </c>
      <c r="G290" s="191">
        <v>181.99</v>
      </c>
      <c r="H290" s="191">
        <v>0</v>
      </c>
      <c r="I290" s="191">
        <v>363.99</v>
      </c>
      <c r="J290" s="191">
        <v>181.99</v>
      </c>
      <c r="K290" s="191">
        <v>83</v>
      </c>
      <c r="L290" s="191">
        <v>416.08</v>
      </c>
      <c r="M290" s="191">
        <v>0</v>
      </c>
      <c r="N290" s="191">
        <v>203.77</v>
      </c>
      <c r="O290" s="191">
        <v>201.2</v>
      </c>
      <c r="P290" s="191">
        <v>229.48</v>
      </c>
    </row>
    <row r="291" spans="1:16" x14ac:dyDescent="0.25">
      <c r="A291" s="190">
        <v>801010402</v>
      </c>
      <c r="B291" s="190" t="s">
        <v>414</v>
      </c>
      <c r="C291" s="190">
        <v>1441</v>
      </c>
      <c r="D291" s="190" t="s">
        <v>408</v>
      </c>
      <c r="E291" s="191">
        <v>0</v>
      </c>
      <c r="F291" s="191">
        <v>0</v>
      </c>
      <c r="G291" s="191">
        <v>211.83</v>
      </c>
      <c r="H291" s="191">
        <v>0</v>
      </c>
      <c r="I291" s="191">
        <v>415.49</v>
      </c>
      <c r="J291" s="191">
        <v>205.29</v>
      </c>
      <c r="K291" s="191">
        <v>105.03</v>
      </c>
      <c r="L291" s="191">
        <v>525.41</v>
      </c>
      <c r="M291" s="191">
        <v>0</v>
      </c>
      <c r="N291" s="191">
        <v>281.92</v>
      </c>
      <c r="O291" s="191">
        <v>283.02</v>
      </c>
      <c r="P291" s="191">
        <v>306.58</v>
      </c>
    </row>
    <row r="292" spans="1:16" x14ac:dyDescent="0.25">
      <c r="A292" s="190">
        <v>801010402</v>
      </c>
      <c r="B292" s="190" t="s">
        <v>415</v>
      </c>
      <c r="C292" s="190">
        <v>1441</v>
      </c>
      <c r="D292" s="190" t="s">
        <v>408</v>
      </c>
      <c r="E292" s="191">
        <v>0</v>
      </c>
      <c r="F292" s="191">
        <v>0</v>
      </c>
      <c r="G292" s="191">
        <v>139.72999999999999</v>
      </c>
      <c r="H292" s="191">
        <v>0</v>
      </c>
      <c r="I292" s="191">
        <v>286.02999999999997</v>
      </c>
      <c r="J292" s="191">
        <v>136.71</v>
      </c>
      <c r="K292" s="191">
        <v>68.09</v>
      </c>
      <c r="L292" s="191">
        <v>361.53</v>
      </c>
      <c r="M292" s="191">
        <v>0</v>
      </c>
      <c r="N292" s="191">
        <v>203.04</v>
      </c>
      <c r="O292" s="191">
        <v>207.64</v>
      </c>
      <c r="P292" s="191">
        <v>213.4</v>
      </c>
    </row>
    <row r="293" spans="1:16" x14ac:dyDescent="0.25">
      <c r="A293" s="190">
        <v>801010402</v>
      </c>
      <c r="B293" s="190" t="s">
        <v>416</v>
      </c>
      <c r="C293" s="190">
        <v>1441</v>
      </c>
      <c r="D293" s="190" t="s">
        <v>408</v>
      </c>
      <c r="E293" s="191">
        <v>0</v>
      </c>
      <c r="F293" s="191">
        <v>0</v>
      </c>
      <c r="G293" s="191">
        <v>190.6</v>
      </c>
      <c r="H293" s="191">
        <v>0</v>
      </c>
      <c r="I293" s="191">
        <v>389.65</v>
      </c>
      <c r="J293" s="191">
        <v>192.3</v>
      </c>
      <c r="K293" s="191">
        <v>96.15</v>
      </c>
      <c r="L293" s="191">
        <v>479.34</v>
      </c>
      <c r="M293" s="191">
        <v>0</v>
      </c>
      <c r="N293" s="191">
        <v>256.54000000000002</v>
      </c>
      <c r="O293" s="191">
        <v>262.98</v>
      </c>
      <c r="P293" s="191">
        <v>303.47000000000003</v>
      </c>
    </row>
    <row r="294" spans="1:16" x14ac:dyDescent="0.25">
      <c r="A294" s="190">
        <v>801010402</v>
      </c>
      <c r="B294" s="190" t="s">
        <v>417</v>
      </c>
      <c r="C294" s="190">
        <v>1441</v>
      </c>
      <c r="D294" s="190" t="s">
        <v>408</v>
      </c>
      <c r="E294" s="191">
        <v>0</v>
      </c>
      <c r="F294" s="191">
        <v>0</v>
      </c>
      <c r="G294" s="191">
        <v>269.18</v>
      </c>
      <c r="H294" s="191">
        <v>0</v>
      </c>
      <c r="I294" s="191">
        <v>555.04999999999995</v>
      </c>
      <c r="J294" s="191">
        <v>284.10000000000002</v>
      </c>
      <c r="K294" s="191">
        <v>142.05000000000001</v>
      </c>
      <c r="L294" s="191">
        <v>716.83</v>
      </c>
      <c r="M294" s="191">
        <v>0</v>
      </c>
      <c r="N294" s="191">
        <v>341.2</v>
      </c>
      <c r="O294" s="191">
        <v>332.74</v>
      </c>
      <c r="P294" s="191">
        <v>371.2</v>
      </c>
    </row>
    <row r="295" spans="1:16" x14ac:dyDescent="0.25">
      <c r="A295" s="190">
        <v>801010402</v>
      </c>
      <c r="B295" s="190" t="s">
        <v>419</v>
      </c>
      <c r="C295" s="190">
        <v>1441</v>
      </c>
      <c r="D295" s="190" t="s">
        <v>408</v>
      </c>
      <c r="E295" s="191">
        <v>0</v>
      </c>
      <c r="F295" s="191">
        <v>0</v>
      </c>
      <c r="G295" s="191">
        <v>245.94</v>
      </c>
      <c r="H295" s="191">
        <v>0</v>
      </c>
      <c r="I295" s="191">
        <v>248.78</v>
      </c>
      <c r="J295" s="191">
        <v>373.17</v>
      </c>
      <c r="K295" s="191">
        <v>124.39</v>
      </c>
      <c r="L295" s="191">
        <v>590.9</v>
      </c>
      <c r="M295" s="191">
        <v>0</v>
      </c>
      <c r="N295" s="191">
        <v>281.18</v>
      </c>
      <c r="O295" s="191">
        <v>283.91000000000003</v>
      </c>
      <c r="P295" s="191">
        <v>320.95</v>
      </c>
    </row>
    <row r="296" spans="1:16" x14ac:dyDescent="0.25">
      <c r="A296" s="190">
        <v>801010402</v>
      </c>
      <c r="B296" s="190" t="s">
        <v>420</v>
      </c>
      <c r="C296" s="190">
        <v>1441</v>
      </c>
      <c r="D296" s="190" t="s">
        <v>408</v>
      </c>
      <c r="E296" s="191">
        <v>0</v>
      </c>
      <c r="F296" s="191">
        <v>0</v>
      </c>
      <c r="G296" s="191">
        <v>304.63</v>
      </c>
      <c r="H296" s="191">
        <v>0</v>
      </c>
      <c r="I296" s="191">
        <v>302.85000000000002</v>
      </c>
      <c r="J296" s="191">
        <v>303.56</v>
      </c>
      <c r="K296" s="191">
        <v>151.69</v>
      </c>
      <c r="L296" s="191">
        <v>739.7</v>
      </c>
      <c r="M296" s="191">
        <v>0</v>
      </c>
      <c r="N296" s="191">
        <v>362.06</v>
      </c>
      <c r="O296" s="191">
        <v>367.57</v>
      </c>
      <c r="P296" s="191">
        <v>416.76</v>
      </c>
    </row>
    <row r="297" spans="1:16" x14ac:dyDescent="0.25">
      <c r="A297" s="190">
        <v>801010402</v>
      </c>
      <c r="B297" s="190" t="s">
        <v>421</v>
      </c>
      <c r="C297" s="190">
        <v>1441</v>
      </c>
      <c r="D297" s="190" t="s">
        <v>408</v>
      </c>
      <c r="E297" s="191">
        <v>0</v>
      </c>
      <c r="F297" s="191">
        <v>0</v>
      </c>
      <c r="G297" s="191">
        <v>213.61</v>
      </c>
      <c r="H297" s="191">
        <v>0</v>
      </c>
      <c r="I297" s="191">
        <v>213.25</v>
      </c>
      <c r="J297" s="191">
        <v>316.69</v>
      </c>
      <c r="K297" s="191">
        <v>106.63</v>
      </c>
      <c r="L297" s="191">
        <v>549.1</v>
      </c>
      <c r="M297" s="191">
        <v>0</v>
      </c>
      <c r="N297" s="191">
        <v>263.89999999999998</v>
      </c>
      <c r="O297" s="191">
        <v>264.08999999999997</v>
      </c>
      <c r="P297" s="191">
        <v>302.35000000000002</v>
      </c>
    </row>
    <row r="298" spans="1:16" x14ac:dyDescent="0.25">
      <c r="A298" s="190">
        <v>801010402</v>
      </c>
      <c r="B298" s="190" t="s">
        <v>422</v>
      </c>
      <c r="C298" s="190">
        <v>1441</v>
      </c>
      <c r="D298" s="190" t="s">
        <v>408</v>
      </c>
      <c r="E298" s="191">
        <v>0</v>
      </c>
      <c r="F298" s="191">
        <v>0</v>
      </c>
      <c r="G298" s="191">
        <v>275.06</v>
      </c>
      <c r="H298" s="191">
        <v>0</v>
      </c>
      <c r="I298" s="191">
        <v>272.22000000000003</v>
      </c>
      <c r="J298" s="191">
        <v>406.2</v>
      </c>
      <c r="K298" s="191">
        <v>134.34</v>
      </c>
      <c r="L298" s="191">
        <v>669.9</v>
      </c>
      <c r="M298" s="191">
        <v>0</v>
      </c>
      <c r="N298" s="191">
        <v>374.23</v>
      </c>
      <c r="O298" s="191">
        <v>380.84</v>
      </c>
      <c r="P298" s="191">
        <v>397.73</v>
      </c>
    </row>
    <row r="299" spans="1:16" x14ac:dyDescent="0.25">
      <c r="A299" s="190">
        <v>801010402</v>
      </c>
      <c r="B299" s="190" t="s">
        <v>423</v>
      </c>
      <c r="C299" s="190">
        <v>1441</v>
      </c>
      <c r="D299" s="190" t="s">
        <v>408</v>
      </c>
      <c r="E299" s="191">
        <v>0</v>
      </c>
      <c r="F299" s="191">
        <v>0</v>
      </c>
      <c r="G299" s="191">
        <v>171.69</v>
      </c>
      <c r="H299" s="191">
        <v>0</v>
      </c>
      <c r="I299" s="191">
        <v>171.69</v>
      </c>
      <c r="J299" s="191">
        <v>257.54000000000002</v>
      </c>
      <c r="K299" s="191">
        <v>85.85</v>
      </c>
      <c r="L299" s="191">
        <v>443.1</v>
      </c>
      <c r="M299" s="191">
        <v>0</v>
      </c>
      <c r="N299" s="191">
        <v>244.04</v>
      </c>
      <c r="O299" s="191">
        <v>245.88</v>
      </c>
      <c r="P299" s="191">
        <v>289.25</v>
      </c>
    </row>
    <row r="300" spans="1:16" x14ac:dyDescent="0.25">
      <c r="A300" s="190">
        <v>801010402</v>
      </c>
      <c r="B300" s="190" t="s">
        <v>424</v>
      </c>
      <c r="C300" s="190">
        <v>1441</v>
      </c>
      <c r="D300" s="190" t="s">
        <v>408</v>
      </c>
      <c r="E300" s="191">
        <v>0</v>
      </c>
      <c r="F300" s="191">
        <v>0</v>
      </c>
      <c r="G300" s="191">
        <v>269.27999999999997</v>
      </c>
      <c r="H300" s="191">
        <v>0</v>
      </c>
      <c r="I300" s="191">
        <v>275.68</v>
      </c>
      <c r="J300" s="191">
        <v>416.71</v>
      </c>
      <c r="K300" s="191">
        <v>139.44</v>
      </c>
      <c r="L300" s="191">
        <v>681.62</v>
      </c>
      <c r="M300" s="191">
        <v>0</v>
      </c>
      <c r="N300" s="191">
        <v>440.1</v>
      </c>
      <c r="O300" s="191">
        <v>460.14</v>
      </c>
      <c r="P300" s="191">
        <v>491.7</v>
      </c>
    </row>
    <row r="301" spans="1:16" x14ac:dyDescent="0.25">
      <c r="A301" s="190">
        <v>801010402</v>
      </c>
      <c r="B301" s="190" t="s">
        <v>425</v>
      </c>
      <c r="C301" s="190">
        <v>1441</v>
      </c>
      <c r="D301" s="190" t="s">
        <v>408</v>
      </c>
      <c r="E301" s="191">
        <v>0</v>
      </c>
      <c r="F301" s="191">
        <v>0</v>
      </c>
      <c r="G301" s="191">
        <v>128.27000000000001</v>
      </c>
      <c r="H301" s="191">
        <v>0</v>
      </c>
      <c r="I301" s="191">
        <v>98.04</v>
      </c>
      <c r="J301" s="191">
        <v>159.79</v>
      </c>
      <c r="K301" s="191">
        <v>67.48</v>
      </c>
      <c r="L301" s="191">
        <v>307.76</v>
      </c>
      <c r="M301" s="191">
        <v>0</v>
      </c>
      <c r="N301" s="191">
        <v>168.94</v>
      </c>
      <c r="O301" s="191">
        <v>189.54</v>
      </c>
      <c r="P301" s="191">
        <v>200.16</v>
      </c>
    </row>
    <row r="302" spans="1:16" x14ac:dyDescent="0.25">
      <c r="A302" s="190">
        <v>801010402</v>
      </c>
      <c r="B302" s="190" t="s">
        <v>426</v>
      </c>
      <c r="C302" s="190">
        <v>1441</v>
      </c>
      <c r="D302" s="190" t="s">
        <v>408</v>
      </c>
      <c r="E302" s="191">
        <v>0</v>
      </c>
      <c r="F302" s="191">
        <v>0</v>
      </c>
      <c r="G302" s="191">
        <v>343.7</v>
      </c>
      <c r="H302" s="191">
        <v>0</v>
      </c>
      <c r="I302" s="191">
        <v>373.01</v>
      </c>
      <c r="J302" s="191">
        <v>485.54</v>
      </c>
      <c r="K302" s="191">
        <v>494.91</v>
      </c>
      <c r="L302" s="191">
        <v>656.45</v>
      </c>
      <c r="M302" s="191">
        <v>0</v>
      </c>
      <c r="N302" s="191">
        <v>405.45</v>
      </c>
      <c r="O302" s="191">
        <v>408.45</v>
      </c>
      <c r="P302" s="191">
        <v>454.18</v>
      </c>
    </row>
    <row r="303" spans="1:16" x14ac:dyDescent="0.25">
      <c r="A303" s="190">
        <v>801010402</v>
      </c>
      <c r="B303" s="190" t="s">
        <v>427</v>
      </c>
      <c r="C303" s="190">
        <v>1441</v>
      </c>
      <c r="D303" s="190" t="s">
        <v>408</v>
      </c>
      <c r="E303" s="191">
        <v>0</v>
      </c>
      <c r="F303" s="191">
        <v>0</v>
      </c>
      <c r="G303" s="191">
        <v>201.38</v>
      </c>
      <c r="H303" s="191">
        <v>0</v>
      </c>
      <c r="I303" s="191">
        <v>201.91</v>
      </c>
      <c r="J303" s="191">
        <v>201.74</v>
      </c>
      <c r="K303" s="191">
        <v>389.52</v>
      </c>
      <c r="L303" s="191">
        <v>449.69</v>
      </c>
      <c r="M303" s="191">
        <v>0</v>
      </c>
      <c r="N303" s="191">
        <v>268.31</v>
      </c>
      <c r="O303" s="191">
        <v>270.16000000000003</v>
      </c>
      <c r="P303" s="191">
        <v>305.20999999999998</v>
      </c>
    </row>
    <row r="304" spans="1:16" x14ac:dyDescent="0.25">
      <c r="A304" s="190">
        <v>801010402</v>
      </c>
      <c r="B304" s="190" t="s">
        <v>428</v>
      </c>
      <c r="C304" s="190">
        <v>1441</v>
      </c>
      <c r="D304" s="190" t="s">
        <v>408</v>
      </c>
      <c r="E304" s="191">
        <v>0</v>
      </c>
      <c r="F304" s="191">
        <v>0</v>
      </c>
      <c r="G304" s="191">
        <v>282.17</v>
      </c>
      <c r="H304" s="191">
        <v>0</v>
      </c>
      <c r="I304" s="191">
        <v>282.17</v>
      </c>
      <c r="J304" s="191">
        <v>286.43</v>
      </c>
      <c r="K304" s="191">
        <v>539.41999999999996</v>
      </c>
      <c r="L304" s="191">
        <v>610.54999999999995</v>
      </c>
      <c r="M304" s="191">
        <v>0</v>
      </c>
      <c r="N304" s="191">
        <v>356.21</v>
      </c>
      <c r="O304" s="191">
        <v>366.14</v>
      </c>
      <c r="P304" s="191">
        <v>407.63</v>
      </c>
    </row>
    <row r="305" spans="1:16" x14ac:dyDescent="0.25">
      <c r="A305" s="190">
        <v>801010402</v>
      </c>
      <c r="B305" s="190" t="s">
        <v>429</v>
      </c>
      <c r="C305" s="190">
        <v>1441</v>
      </c>
      <c r="D305" s="190" t="s">
        <v>408</v>
      </c>
      <c r="E305" s="191">
        <v>0</v>
      </c>
      <c r="F305" s="191">
        <v>0</v>
      </c>
      <c r="G305" s="191">
        <v>174.38</v>
      </c>
      <c r="H305" s="191">
        <v>0</v>
      </c>
      <c r="I305" s="191">
        <v>175.8</v>
      </c>
      <c r="J305" s="191">
        <v>175.8</v>
      </c>
      <c r="K305" s="191">
        <v>339.66</v>
      </c>
      <c r="L305" s="191">
        <v>326.49</v>
      </c>
      <c r="M305" s="191">
        <v>0</v>
      </c>
      <c r="N305" s="191">
        <v>173.25</v>
      </c>
      <c r="O305" s="191">
        <v>178.22</v>
      </c>
      <c r="P305" s="191">
        <v>212.7</v>
      </c>
    </row>
    <row r="306" spans="1:16" x14ac:dyDescent="0.25">
      <c r="A306" s="190">
        <v>801010402</v>
      </c>
      <c r="B306" s="190" t="s">
        <v>430</v>
      </c>
      <c r="C306" s="190">
        <v>1441</v>
      </c>
      <c r="D306" s="190" t="s">
        <v>408</v>
      </c>
      <c r="E306" s="191">
        <v>0</v>
      </c>
      <c r="F306" s="191">
        <v>0</v>
      </c>
      <c r="G306" s="191">
        <v>233.5</v>
      </c>
      <c r="H306" s="191">
        <v>0</v>
      </c>
      <c r="I306" s="191">
        <v>209.31</v>
      </c>
      <c r="J306" s="191">
        <v>209.31</v>
      </c>
      <c r="K306" s="191">
        <v>424.16</v>
      </c>
      <c r="L306" s="191">
        <v>475.95</v>
      </c>
      <c r="M306" s="191">
        <v>0</v>
      </c>
      <c r="N306" s="191">
        <v>305.82</v>
      </c>
      <c r="O306" s="191">
        <v>303.8</v>
      </c>
      <c r="P306" s="191">
        <v>338.23</v>
      </c>
    </row>
    <row r="307" spans="1:16" x14ac:dyDescent="0.25">
      <c r="A307" s="190">
        <v>801010402</v>
      </c>
      <c r="B307" s="190" t="s">
        <v>431</v>
      </c>
      <c r="C307" s="190">
        <v>1441</v>
      </c>
      <c r="D307" s="190" t="s">
        <v>408</v>
      </c>
      <c r="E307" s="191">
        <v>0</v>
      </c>
      <c r="F307" s="191">
        <v>0</v>
      </c>
      <c r="G307" s="191">
        <v>234.92</v>
      </c>
      <c r="H307" s="191">
        <v>0</v>
      </c>
      <c r="I307" s="191">
        <v>235.28</v>
      </c>
      <c r="J307" s="191">
        <v>235.28</v>
      </c>
      <c r="K307" s="191">
        <v>446.99</v>
      </c>
      <c r="L307" s="191">
        <v>498.01</v>
      </c>
      <c r="M307" s="191">
        <v>0</v>
      </c>
      <c r="N307" s="191">
        <v>324.02999999999997</v>
      </c>
      <c r="O307" s="191">
        <v>323.83999999999997</v>
      </c>
      <c r="P307" s="191">
        <v>361.19</v>
      </c>
    </row>
    <row r="308" spans="1:16" x14ac:dyDescent="0.25">
      <c r="A308" s="190">
        <v>801010402</v>
      </c>
      <c r="B308" s="190" t="s">
        <v>432</v>
      </c>
      <c r="C308" s="190">
        <v>1441</v>
      </c>
      <c r="D308" s="190" t="s">
        <v>408</v>
      </c>
      <c r="E308" s="191">
        <v>0</v>
      </c>
      <c r="F308" s="191">
        <v>0</v>
      </c>
      <c r="G308" s="191">
        <v>337.87</v>
      </c>
      <c r="H308" s="191">
        <v>0</v>
      </c>
      <c r="I308" s="191">
        <v>352.79</v>
      </c>
      <c r="J308" s="191">
        <v>353.32</v>
      </c>
      <c r="K308" s="191">
        <v>465.39</v>
      </c>
      <c r="L308" s="191">
        <v>730.96</v>
      </c>
      <c r="M308" s="191">
        <v>0</v>
      </c>
      <c r="N308" s="191">
        <v>418.43</v>
      </c>
      <c r="O308" s="191">
        <v>424.14</v>
      </c>
      <c r="P308" s="191">
        <v>463.9</v>
      </c>
    </row>
    <row r="309" spans="1:16" x14ac:dyDescent="0.25">
      <c r="A309" s="190">
        <v>801010402</v>
      </c>
      <c r="B309" s="190" t="s">
        <v>433</v>
      </c>
      <c r="C309" s="190">
        <v>1441</v>
      </c>
      <c r="D309" s="190" t="s">
        <v>408</v>
      </c>
      <c r="E309" s="191">
        <v>0</v>
      </c>
      <c r="F309" s="191">
        <v>0</v>
      </c>
      <c r="G309" s="191">
        <v>188.1</v>
      </c>
      <c r="H309" s="191">
        <v>0</v>
      </c>
      <c r="I309" s="191">
        <v>202.31</v>
      </c>
      <c r="J309" s="191">
        <v>202.31</v>
      </c>
      <c r="K309" s="191">
        <v>366.86</v>
      </c>
      <c r="L309" s="191">
        <v>443.34</v>
      </c>
      <c r="M309" s="191">
        <v>0</v>
      </c>
      <c r="N309" s="191">
        <v>273.14999999999998</v>
      </c>
      <c r="O309" s="191">
        <v>273.16000000000003</v>
      </c>
      <c r="P309" s="191">
        <v>273.16000000000003</v>
      </c>
    </row>
    <row r="310" spans="1:16" x14ac:dyDescent="0.25">
      <c r="A310" s="190">
        <v>801010402</v>
      </c>
      <c r="B310" s="190" t="s">
        <v>434</v>
      </c>
      <c r="C310" s="190">
        <v>1441</v>
      </c>
      <c r="D310" s="190" t="s">
        <v>408</v>
      </c>
      <c r="E310" s="191">
        <v>0</v>
      </c>
      <c r="F310" s="191">
        <v>0</v>
      </c>
      <c r="G310" s="191">
        <v>146.54</v>
      </c>
      <c r="H310" s="191">
        <v>0</v>
      </c>
      <c r="I310" s="191">
        <v>146.54</v>
      </c>
      <c r="J310" s="191">
        <v>146.54</v>
      </c>
      <c r="K310" s="191">
        <v>277.02</v>
      </c>
      <c r="L310" s="191">
        <v>345.88</v>
      </c>
      <c r="M310" s="191">
        <v>0</v>
      </c>
      <c r="N310" s="191">
        <v>222.22</v>
      </c>
      <c r="O310" s="191">
        <v>220.2</v>
      </c>
      <c r="P310" s="191">
        <v>220.2</v>
      </c>
    </row>
    <row r="311" spans="1:16" x14ac:dyDescent="0.25">
      <c r="A311" s="190">
        <v>801010402</v>
      </c>
      <c r="B311" s="190" t="s">
        <v>435</v>
      </c>
      <c r="C311" s="190">
        <v>1441</v>
      </c>
      <c r="D311" s="190" t="s">
        <v>408</v>
      </c>
      <c r="E311" s="191">
        <v>0</v>
      </c>
      <c r="F311" s="191">
        <v>0</v>
      </c>
      <c r="G311" s="191">
        <v>62.63</v>
      </c>
      <c r="H311" s="191">
        <v>0</v>
      </c>
      <c r="I311" s="191">
        <v>65.12</v>
      </c>
      <c r="J311" s="191">
        <v>72.66</v>
      </c>
      <c r="K311" s="191">
        <v>146.38</v>
      </c>
      <c r="L311" s="191">
        <v>164.58</v>
      </c>
      <c r="M311" s="191">
        <v>0</v>
      </c>
      <c r="N311" s="191">
        <v>108.76</v>
      </c>
      <c r="O311" s="191">
        <v>109.5</v>
      </c>
      <c r="P311" s="191">
        <v>109.5</v>
      </c>
    </row>
    <row r="312" spans="1:16" x14ac:dyDescent="0.25">
      <c r="A312" s="190">
        <v>801010402</v>
      </c>
      <c r="B312" s="190" t="s">
        <v>436</v>
      </c>
      <c r="C312" s="190">
        <v>1441</v>
      </c>
      <c r="D312" s="190" t="s">
        <v>408</v>
      </c>
      <c r="E312" s="191">
        <v>0</v>
      </c>
      <c r="F312" s="191">
        <v>0</v>
      </c>
      <c r="G312" s="191">
        <v>145.79</v>
      </c>
      <c r="H312" s="191">
        <v>0</v>
      </c>
      <c r="I312" s="191">
        <v>148.32</v>
      </c>
      <c r="J312" s="191">
        <v>148.32</v>
      </c>
      <c r="K312" s="191">
        <v>281.06</v>
      </c>
      <c r="L312" s="191">
        <v>248.47</v>
      </c>
      <c r="M312" s="191">
        <v>0</v>
      </c>
      <c r="N312" s="191">
        <v>186</v>
      </c>
      <c r="O312" s="191">
        <v>178.28</v>
      </c>
      <c r="P312" s="191">
        <v>178.28</v>
      </c>
    </row>
    <row r="313" spans="1:16" x14ac:dyDescent="0.25">
      <c r="A313" s="190">
        <v>801010402</v>
      </c>
      <c r="B313" s="190" t="s">
        <v>437</v>
      </c>
      <c r="C313" s="190">
        <v>1441</v>
      </c>
      <c r="D313" s="190" t="s">
        <v>408</v>
      </c>
      <c r="E313" s="191">
        <v>0</v>
      </c>
      <c r="F313" s="191">
        <v>0</v>
      </c>
      <c r="G313" s="191">
        <v>171.46</v>
      </c>
      <c r="H313" s="191">
        <v>0</v>
      </c>
      <c r="I313" s="191">
        <v>165.58</v>
      </c>
      <c r="J313" s="191">
        <v>164.3</v>
      </c>
      <c r="K313" s="191">
        <v>394.61</v>
      </c>
      <c r="L313" s="191">
        <v>282.45999999999998</v>
      </c>
      <c r="M313" s="191">
        <v>0</v>
      </c>
      <c r="N313" s="191">
        <v>197.75</v>
      </c>
      <c r="O313" s="191">
        <v>200.36</v>
      </c>
      <c r="P313" s="191">
        <v>324.18</v>
      </c>
    </row>
    <row r="314" spans="1:16" x14ac:dyDescent="0.25">
      <c r="A314" s="190">
        <v>801010402</v>
      </c>
      <c r="B314" s="190" t="s">
        <v>407</v>
      </c>
      <c r="C314" s="190">
        <v>1511</v>
      </c>
      <c r="D314" s="190" t="s">
        <v>408</v>
      </c>
      <c r="E314" s="191">
        <v>0</v>
      </c>
      <c r="F314" s="193">
        <v>1855.5</v>
      </c>
      <c r="G314" s="193">
        <v>3675.69</v>
      </c>
      <c r="H314" s="193">
        <v>1894.14</v>
      </c>
      <c r="I314" s="193">
        <v>1997.86</v>
      </c>
      <c r="J314" s="193">
        <v>1997.86</v>
      </c>
      <c r="K314" s="193">
        <v>3947.66</v>
      </c>
      <c r="L314" s="193">
        <v>2267.36</v>
      </c>
      <c r="M314" s="193">
        <v>2119.37</v>
      </c>
      <c r="N314" s="193">
        <v>2173.38</v>
      </c>
      <c r="O314" s="193">
        <v>2360.89</v>
      </c>
      <c r="P314" s="193">
        <v>2420.48</v>
      </c>
    </row>
    <row r="315" spans="1:16" x14ac:dyDescent="0.25">
      <c r="A315" s="190">
        <v>801010402</v>
      </c>
      <c r="B315" s="190" t="s">
        <v>410</v>
      </c>
      <c r="C315" s="190">
        <v>1511</v>
      </c>
      <c r="D315" s="190" t="s">
        <v>408</v>
      </c>
      <c r="E315" s="191">
        <v>0</v>
      </c>
      <c r="F315" s="191">
        <v>420.16</v>
      </c>
      <c r="G315" s="191">
        <v>840.32</v>
      </c>
      <c r="H315" s="191">
        <v>420.16</v>
      </c>
      <c r="I315" s="191">
        <v>420.16</v>
      </c>
      <c r="J315" s="191">
        <v>420.16</v>
      </c>
      <c r="K315" s="191">
        <v>802.48</v>
      </c>
      <c r="L315" s="191">
        <v>421.32</v>
      </c>
      <c r="M315" s="191">
        <v>389.62</v>
      </c>
      <c r="N315" s="191">
        <v>465.36</v>
      </c>
      <c r="O315" s="191">
        <v>465.36</v>
      </c>
      <c r="P315" s="193">
        <v>1051.47</v>
      </c>
    </row>
    <row r="316" spans="1:16" x14ac:dyDescent="0.25">
      <c r="A316" s="190">
        <v>801010402</v>
      </c>
      <c r="B316" s="190" t="s">
        <v>411</v>
      </c>
      <c r="C316" s="190">
        <v>1511</v>
      </c>
      <c r="D316" s="190" t="s">
        <v>408</v>
      </c>
      <c r="E316" s="191">
        <v>0</v>
      </c>
      <c r="F316" s="191">
        <v>357.52</v>
      </c>
      <c r="G316" s="191">
        <v>715.04</v>
      </c>
      <c r="H316" s="191">
        <v>357.52</v>
      </c>
      <c r="I316" s="191">
        <v>357.52</v>
      </c>
      <c r="J316" s="191">
        <v>357.52</v>
      </c>
      <c r="K316" s="191">
        <v>713.78</v>
      </c>
      <c r="L316" s="191">
        <v>397.8</v>
      </c>
      <c r="M316" s="191">
        <v>397.8</v>
      </c>
      <c r="N316" s="191">
        <v>397.8</v>
      </c>
      <c r="O316" s="191">
        <v>397.8</v>
      </c>
      <c r="P316" s="191">
        <v>885.86</v>
      </c>
    </row>
    <row r="317" spans="1:16" x14ac:dyDescent="0.25">
      <c r="A317" s="190">
        <v>801010402</v>
      </c>
      <c r="B317" s="190" t="s">
        <v>412</v>
      </c>
      <c r="C317" s="190">
        <v>1511</v>
      </c>
      <c r="D317" s="190" t="s">
        <v>408</v>
      </c>
      <c r="E317" s="191">
        <v>0</v>
      </c>
      <c r="F317" s="191">
        <v>420.16</v>
      </c>
      <c r="G317" s="191">
        <v>840.32</v>
      </c>
      <c r="H317" s="191">
        <v>420.16</v>
      </c>
      <c r="I317" s="191">
        <v>420.16</v>
      </c>
      <c r="J317" s="191">
        <v>420.16</v>
      </c>
      <c r="K317" s="191">
        <v>766.13</v>
      </c>
      <c r="L317" s="191">
        <v>400.16</v>
      </c>
      <c r="M317" s="191">
        <v>427.49</v>
      </c>
      <c r="N317" s="191">
        <v>465.36</v>
      </c>
      <c r="O317" s="191">
        <v>465.36</v>
      </c>
      <c r="P317" s="191">
        <v>920.07</v>
      </c>
    </row>
    <row r="318" spans="1:16" x14ac:dyDescent="0.25">
      <c r="A318" s="190">
        <v>801010402</v>
      </c>
      <c r="B318" s="190" t="s">
        <v>413</v>
      </c>
      <c r="C318" s="190">
        <v>1511</v>
      </c>
      <c r="D318" s="190" t="s">
        <v>408</v>
      </c>
      <c r="E318" s="191">
        <v>0</v>
      </c>
      <c r="F318" s="191">
        <v>420.16</v>
      </c>
      <c r="G318" s="191">
        <v>840.32</v>
      </c>
      <c r="H318" s="191">
        <v>420.16</v>
      </c>
      <c r="I318" s="191">
        <v>420.16</v>
      </c>
      <c r="J318" s="191">
        <v>420.16</v>
      </c>
      <c r="K318" s="191">
        <v>826.92</v>
      </c>
      <c r="L318" s="191">
        <v>465.36</v>
      </c>
      <c r="M318" s="191">
        <v>465.36</v>
      </c>
      <c r="N318" s="191">
        <v>465.36</v>
      </c>
      <c r="O318" s="191">
        <v>465.36</v>
      </c>
      <c r="P318" s="191">
        <v>928.32</v>
      </c>
    </row>
    <row r="319" spans="1:16" x14ac:dyDescent="0.25">
      <c r="A319" s="190">
        <v>801010402</v>
      </c>
      <c r="B319" s="190" t="s">
        <v>414</v>
      </c>
      <c r="C319" s="190">
        <v>1511</v>
      </c>
      <c r="D319" s="190" t="s">
        <v>408</v>
      </c>
      <c r="E319" s="191">
        <v>0</v>
      </c>
      <c r="F319" s="191">
        <v>382.41</v>
      </c>
      <c r="G319" s="191">
        <v>742.12</v>
      </c>
      <c r="H319" s="191">
        <v>420.16</v>
      </c>
      <c r="I319" s="191">
        <v>334.37</v>
      </c>
      <c r="J319" s="191">
        <v>357.52</v>
      </c>
      <c r="K319" s="191">
        <v>648.96</v>
      </c>
      <c r="L319" s="191">
        <v>465.36</v>
      </c>
      <c r="M319" s="191">
        <v>465.36</v>
      </c>
      <c r="N319" s="191">
        <v>465.36</v>
      </c>
      <c r="O319" s="191">
        <v>465.36</v>
      </c>
      <c r="P319" s="191">
        <v>822</v>
      </c>
    </row>
    <row r="320" spans="1:16" x14ac:dyDescent="0.25">
      <c r="A320" s="190">
        <v>801010402</v>
      </c>
      <c r="B320" s="190" t="s">
        <v>415</v>
      </c>
      <c r="C320" s="190">
        <v>1511</v>
      </c>
      <c r="D320" s="190" t="s">
        <v>408</v>
      </c>
      <c r="E320" s="191">
        <v>0</v>
      </c>
      <c r="F320" s="191">
        <v>236.64</v>
      </c>
      <c r="G320" s="191">
        <v>473.28</v>
      </c>
      <c r="H320" s="191">
        <v>236.64</v>
      </c>
      <c r="I320" s="191">
        <v>236.64</v>
      </c>
      <c r="J320" s="191">
        <v>236.64</v>
      </c>
      <c r="K320" s="191">
        <v>481.74</v>
      </c>
      <c r="L320" s="191">
        <v>215.61</v>
      </c>
      <c r="M320" s="191">
        <v>215.61</v>
      </c>
      <c r="N320" s="191">
        <v>267.42</v>
      </c>
      <c r="O320" s="191">
        <v>267.42</v>
      </c>
      <c r="P320" s="191">
        <v>352.46</v>
      </c>
    </row>
    <row r="321" spans="1:16" x14ac:dyDescent="0.25">
      <c r="A321" s="190">
        <v>801010402</v>
      </c>
      <c r="B321" s="190" t="s">
        <v>416</v>
      </c>
      <c r="C321" s="190">
        <v>1511</v>
      </c>
      <c r="D321" s="190" t="s">
        <v>408</v>
      </c>
      <c r="E321" s="191">
        <v>0</v>
      </c>
      <c r="F321" s="191">
        <v>420.16</v>
      </c>
      <c r="G321" s="191">
        <v>905.38</v>
      </c>
      <c r="H321" s="191">
        <v>485.22</v>
      </c>
      <c r="I321" s="191">
        <v>420.16</v>
      </c>
      <c r="J321" s="191">
        <v>420.16</v>
      </c>
      <c r="K321" s="191">
        <v>763.51</v>
      </c>
      <c r="L321" s="191">
        <v>465.36</v>
      </c>
      <c r="M321" s="191">
        <v>465.36</v>
      </c>
      <c r="N321" s="191">
        <v>465.36</v>
      </c>
      <c r="O321" s="191">
        <v>465.36</v>
      </c>
      <c r="P321" s="191">
        <v>967.33</v>
      </c>
    </row>
    <row r="322" spans="1:16" x14ac:dyDescent="0.25">
      <c r="A322" s="190">
        <v>801010402</v>
      </c>
      <c r="B322" s="190" t="s">
        <v>417</v>
      </c>
      <c r="C322" s="190">
        <v>1511</v>
      </c>
      <c r="D322" s="190" t="s">
        <v>408</v>
      </c>
      <c r="E322" s="191">
        <v>0</v>
      </c>
      <c r="F322" s="191">
        <v>482.78</v>
      </c>
      <c r="G322" s="191">
        <v>902.94</v>
      </c>
      <c r="H322" s="191">
        <v>482.78</v>
      </c>
      <c r="I322" s="191">
        <v>482.78</v>
      </c>
      <c r="J322" s="191">
        <v>482.78</v>
      </c>
      <c r="K322" s="191">
        <v>878.03</v>
      </c>
      <c r="L322" s="191">
        <v>532.9</v>
      </c>
      <c r="M322" s="191">
        <v>532.9</v>
      </c>
      <c r="N322" s="191">
        <v>532.9</v>
      </c>
      <c r="O322" s="191">
        <v>532.9</v>
      </c>
      <c r="P322" s="193">
        <v>1099.8599999999999</v>
      </c>
    </row>
    <row r="323" spans="1:16" x14ac:dyDescent="0.25">
      <c r="A323" s="190">
        <v>801010402</v>
      </c>
      <c r="B323" s="190" t="s">
        <v>419</v>
      </c>
      <c r="C323" s="190">
        <v>1511</v>
      </c>
      <c r="D323" s="190" t="s">
        <v>408</v>
      </c>
      <c r="E323" s="191">
        <v>0</v>
      </c>
      <c r="F323" s="191">
        <v>420.16</v>
      </c>
      <c r="G323" s="191">
        <v>840.32</v>
      </c>
      <c r="H323" s="191">
        <v>420.16</v>
      </c>
      <c r="I323" s="191">
        <v>420.16</v>
      </c>
      <c r="J323" s="191">
        <v>420.16</v>
      </c>
      <c r="K323" s="191">
        <v>768.57</v>
      </c>
      <c r="L323" s="191">
        <v>465.36</v>
      </c>
      <c r="M323" s="191">
        <v>465.36</v>
      </c>
      <c r="N323" s="191">
        <v>465.36</v>
      </c>
      <c r="O323" s="191">
        <v>465.36</v>
      </c>
      <c r="P323" s="193">
        <v>1051.47</v>
      </c>
    </row>
    <row r="324" spans="1:16" x14ac:dyDescent="0.25">
      <c r="A324" s="190">
        <v>801010402</v>
      </c>
      <c r="B324" s="190" t="s">
        <v>420</v>
      </c>
      <c r="C324" s="190">
        <v>1511</v>
      </c>
      <c r="D324" s="190" t="s">
        <v>408</v>
      </c>
      <c r="E324" s="191">
        <v>0</v>
      </c>
      <c r="F324" s="191">
        <v>553.44000000000005</v>
      </c>
      <c r="G324" s="193">
        <v>1106.8800000000001</v>
      </c>
      <c r="H324" s="191">
        <v>553.44000000000005</v>
      </c>
      <c r="I324" s="191">
        <v>553.44000000000005</v>
      </c>
      <c r="J324" s="191">
        <v>553.44000000000005</v>
      </c>
      <c r="K324" s="191">
        <v>966.61</v>
      </c>
      <c r="L324" s="191">
        <v>608.62</v>
      </c>
      <c r="M324" s="191">
        <v>608.62</v>
      </c>
      <c r="N324" s="191">
        <v>608.62</v>
      </c>
      <c r="O324" s="191">
        <v>608.62</v>
      </c>
      <c r="P324" s="193">
        <v>1252.44</v>
      </c>
    </row>
    <row r="325" spans="1:16" x14ac:dyDescent="0.25">
      <c r="A325" s="190">
        <v>801010402</v>
      </c>
      <c r="B325" s="190" t="s">
        <v>421</v>
      </c>
      <c r="C325" s="190">
        <v>1511</v>
      </c>
      <c r="D325" s="190" t="s">
        <v>408</v>
      </c>
      <c r="E325" s="191">
        <v>0</v>
      </c>
      <c r="F325" s="191">
        <v>420.16</v>
      </c>
      <c r="G325" s="191">
        <v>840.32</v>
      </c>
      <c r="H325" s="191">
        <v>420.16</v>
      </c>
      <c r="I325" s="191">
        <v>420.16</v>
      </c>
      <c r="J325" s="191">
        <v>420.16</v>
      </c>
      <c r="K325" s="191">
        <v>848.54</v>
      </c>
      <c r="L325" s="191">
        <v>465.36</v>
      </c>
      <c r="M325" s="191">
        <v>465.36</v>
      </c>
      <c r="N325" s="191">
        <v>465.36</v>
      </c>
      <c r="O325" s="191">
        <v>465.36</v>
      </c>
      <c r="P325" s="193">
        <v>1032.21</v>
      </c>
    </row>
    <row r="326" spans="1:16" x14ac:dyDescent="0.25">
      <c r="A326" s="190">
        <v>801010402</v>
      </c>
      <c r="B326" s="190" t="s">
        <v>422</v>
      </c>
      <c r="C326" s="190">
        <v>1511</v>
      </c>
      <c r="D326" s="190" t="s">
        <v>408</v>
      </c>
      <c r="E326" s="191">
        <v>0</v>
      </c>
      <c r="F326" s="191">
        <v>420.16</v>
      </c>
      <c r="G326" s="191">
        <v>840.32</v>
      </c>
      <c r="H326" s="191">
        <v>420.16</v>
      </c>
      <c r="I326" s="191">
        <v>420.16</v>
      </c>
      <c r="J326" s="191">
        <v>420.16</v>
      </c>
      <c r="K326" s="191">
        <v>831.64</v>
      </c>
      <c r="L326" s="191">
        <v>400.16</v>
      </c>
      <c r="M326" s="191">
        <v>465.36</v>
      </c>
      <c r="N326" s="191">
        <v>465.36</v>
      </c>
      <c r="O326" s="191">
        <v>465.36</v>
      </c>
      <c r="P326" s="191">
        <v>723.69</v>
      </c>
    </row>
    <row r="327" spans="1:16" x14ac:dyDescent="0.25">
      <c r="A327" s="190">
        <v>801010402</v>
      </c>
      <c r="B327" s="190" t="s">
        <v>423</v>
      </c>
      <c r="C327" s="190">
        <v>1511</v>
      </c>
      <c r="D327" s="190" t="s">
        <v>408</v>
      </c>
      <c r="E327" s="191">
        <v>0</v>
      </c>
      <c r="F327" s="191">
        <v>420.15</v>
      </c>
      <c r="G327" s="191">
        <v>792.28</v>
      </c>
      <c r="H327" s="191">
        <v>420.16</v>
      </c>
      <c r="I327" s="191">
        <v>420.16</v>
      </c>
      <c r="J327" s="191">
        <v>420.16</v>
      </c>
      <c r="K327" s="191">
        <v>778.38</v>
      </c>
      <c r="L327" s="191">
        <v>465.36</v>
      </c>
      <c r="M327" s="191">
        <v>465.36</v>
      </c>
      <c r="N327" s="191">
        <v>465.36</v>
      </c>
      <c r="O327" s="191">
        <v>465.36</v>
      </c>
      <c r="P327" s="193">
        <v>1034.17</v>
      </c>
    </row>
    <row r="328" spans="1:16" x14ac:dyDescent="0.25">
      <c r="A328" s="190">
        <v>801010402</v>
      </c>
      <c r="B328" s="190" t="s">
        <v>424</v>
      </c>
      <c r="C328" s="190">
        <v>1511</v>
      </c>
      <c r="D328" s="190" t="s">
        <v>408</v>
      </c>
      <c r="E328" s="191">
        <v>0</v>
      </c>
      <c r="F328" s="191">
        <v>490.82</v>
      </c>
      <c r="G328" s="193">
        <v>1106.8800000000001</v>
      </c>
      <c r="H328" s="191">
        <v>553.44000000000005</v>
      </c>
      <c r="I328" s="191">
        <v>553.44000000000005</v>
      </c>
      <c r="J328" s="191">
        <v>553.44000000000005</v>
      </c>
      <c r="K328" s="191">
        <v>989.48</v>
      </c>
      <c r="L328" s="191">
        <v>608.62</v>
      </c>
      <c r="M328" s="191">
        <v>434.21</v>
      </c>
      <c r="N328" s="191">
        <v>478.24</v>
      </c>
      <c r="O328" s="191">
        <v>478.24</v>
      </c>
      <c r="P328" s="191">
        <v>940.75</v>
      </c>
    </row>
    <row r="329" spans="1:16" x14ac:dyDescent="0.25">
      <c r="A329" s="190">
        <v>801010402</v>
      </c>
      <c r="B329" s="190" t="s">
        <v>425</v>
      </c>
      <c r="C329" s="190">
        <v>1511</v>
      </c>
      <c r="D329" s="190" t="s">
        <v>408</v>
      </c>
      <c r="E329" s="191">
        <v>0</v>
      </c>
      <c r="F329" s="191">
        <v>309.48</v>
      </c>
      <c r="G329" s="191">
        <v>618.96</v>
      </c>
      <c r="H329" s="191">
        <v>261.44</v>
      </c>
      <c r="I329" s="191">
        <v>261.44</v>
      </c>
      <c r="J329" s="191">
        <v>357.52</v>
      </c>
      <c r="K329" s="191">
        <v>632.79</v>
      </c>
      <c r="L329" s="191">
        <v>384.42</v>
      </c>
      <c r="M329" s="191">
        <v>346</v>
      </c>
      <c r="N329" s="191">
        <v>397.8</v>
      </c>
      <c r="O329" s="191">
        <v>397.8</v>
      </c>
      <c r="P329" s="191">
        <v>548.84</v>
      </c>
    </row>
    <row r="330" spans="1:16" x14ac:dyDescent="0.25">
      <c r="A330" s="190">
        <v>801010402</v>
      </c>
      <c r="B330" s="190" t="s">
        <v>426</v>
      </c>
      <c r="C330" s="190">
        <v>1511</v>
      </c>
      <c r="D330" s="190" t="s">
        <v>408</v>
      </c>
      <c r="E330" s="191">
        <v>0</v>
      </c>
      <c r="F330" s="191">
        <v>482.78</v>
      </c>
      <c r="G330" s="193">
        <v>1069.1400000000001</v>
      </c>
      <c r="H330" s="191">
        <v>553.44000000000005</v>
      </c>
      <c r="I330" s="191">
        <v>553.44000000000005</v>
      </c>
      <c r="J330" s="191">
        <v>553.44000000000005</v>
      </c>
      <c r="K330" s="191">
        <v>983.17</v>
      </c>
      <c r="L330" s="191">
        <v>608.62</v>
      </c>
      <c r="M330" s="191">
        <v>608.62</v>
      </c>
      <c r="N330" s="191">
        <v>608.62</v>
      </c>
      <c r="O330" s="191">
        <v>570.76</v>
      </c>
      <c r="P330" s="193">
        <v>1217.0899999999999</v>
      </c>
    </row>
    <row r="331" spans="1:16" x14ac:dyDescent="0.25">
      <c r="A331" s="190">
        <v>801010402</v>
      </c>
      <c r="B331" s="190" t="s">
        <v>427</v>
      </c>
      <c r="C331" s="190">
        <v>1511</v>
      </c>
      <c r="D331" s="190" t="s">
        <v>408</v>
      </c>
      <c r="E331" s="191">
        <v>0</v>
      </c>
      <c r="F331" s="191">
        <v>357.52</v>
      </c>
      <c r="G331" s="191">
        <v>715.04</v>
      </c>
      <c r="H331" s="191">
        <v>357.52</v>
      </c>
      <c r="I331" s="191">
        <v>357.52</v>
      </c>
      <c r="J331" s="191">
        <v>357.52</v>
      </c>
      <c r="K331" s="191">
        <v>713.78</v>
      </c>
      <c r="L331" s="191">
        <v>397.8</v>
      </c>
      <c r="M331" s="191">
        <v>431.58</v>
      </c>
      <c r="N331" s="191">
        <v>465.36</v>
      </c>
      <c r="O331" s="191">
        <v>465.36</v>
      </c>
      <c r="P331" s="191">
        <v>982.09</v>
      </c>
    </row>
    <row r="332" spans="1:16" x14ac:dyDescent="0.25">
      <c r="A332" s="190">
        <v>801010402</v>
      </c>
      <c r="B332" s="190" t="s">
        <v>428</v>
      </c>
      <c r="C332" s="190">
        <v>1511</v>
      </c>
      <c r="D332" s="190" t="s">
        <v>408</v>
      </c>
      <c r="E332" s="191">
        <v>0</v>
      </c>
      <c r="F332" s="191">
        <v>420.16</v>
      </c>
      <c r="G332" s="191">
        <v>840.32</v>
      </c>
      <c r="H332" s="191">
        <v>420.16</v>
      </c>
      <c r="I332" s="191">
        <v>420.16</v>
      </c>
      <c r="J332" s="191">
        <v>420.16</v>
      </c>
      <c r="K332" s="191">
        <v>842.32</v>
      </c>
      <c r="L332" s="191">
        <v>421.32</v>
      </c>
      <c r="M332" s="191">
        <v>377.28</v>
      </c>
      <c r="N332" s="191">
        <v>377.28</v>
      </c>
      <c r="O332" s="191">
        <v>465.36</v>
      </c>
      <c r="P332" s="193">
        <v>1006.53</v>
      </c>
    </row>
    <row r="333" spans="1:16" x14ac:dyDescent="0.25">
      <c r="A333" s="190">
        <v>801010402</v>
      </c>
      <c r="B333" s="190" t="s">
        <v>429</v>
      </c>
      <c r="C333" s="190">
        <v>1511</v>
      </c>
      <c r="D333" s="190" t="s">
        <v>408</v>
      </c>
      <c r="E333" s="191">
        <v>0</v>
      </c>
      <c r="F333" s="191">
        <v>309.48</v>
      </c>
      <c r="G333" s="191">
        <v>715.04</v>
      </c>
      <c r="H333" s="191">
        <v>357.52</v>
      </c>
      <c r="I333" s="191">
        <v>357.52</v>
      </c>
      <c r="J333" s="191">
        <v>357.52</v>
      </c>
      <c r="K333" s="191">
        <v>634.86</v>
      </c>
      <c r="L333" s="191">
        <v>397.8</v>
      </c>
      <c r="M333" s="191">
        <v>397.8</v>
      </c>
      <c r="N333" s="191">
        <v>465.36</v>
      </c>
      <c r="O333" s="191">
        <v>465.36</v>
      </c>
      <c r="P333" s="191">
        <v>930.29</v>
      </c>
    </row>
    <row r="334" spans="1:16" x14ac:dyDescent="0.25">
      <c r="A334" s="190">
        <v>801010402</v>
      </c>
      <c r="B334" s="190" t="s">
        <v>430</v>
      </c>
      <c r="C334" s="190">
        <v>1511</v>
      </c>
      <c r="D334" s="190" t="s">
        <v>408</v>
      </c>
      <c r="E334" s="191">
        <v>0</v>
      </c>
      <c r="F334" s="191">
        <v>420.16</v>
      </c>
      <c r="G334" s="191">
        <v>840.32</v>
      </c>
      <c r="H334" s="191">
        <v>420.16</v>
      </c>
      <c r="I334" s="191">
        <v>420.16</v>
      </c>
      <c r="J334" s="191">
        <v>420.16</v>
      </c>
      <c r="K334" s="191">
        <v>773.8</v>
      </c>
      <c r="L334" s="191">
        <v>465.36</v>
      </c>
      <c r="M334" s="191">
        <v>465.36</v>
      </c>
      <c r="N334" s="191">
        <v>465.36</v>
      </c>
      <c r="O334" s="191">
        <v>465.36</v>
      </c>
      <c r="P334" s="193">
        <v>1051.48</v>
      </c>
    </row>
    <row r="335" spans="1:16" x14ac:dyDescent="0.25">
      <c r="A335" s="190">
        <v>801010402</v>
      </c>
      <c r="B335" s="190" t="s">
        <v>431</v>
      </c>
      <c r="C335" s="190">
        <v>1511</v>
      </c>
      <c r="D335" s="190" t="s">
        <v>408</v>
      </c>
      <c r="E335" s="191">
        <v>0</v>
      </c>
      <c r="F335" s="191">
        <v>420.16</v>
      </c>
      <c r="G335" s="191">
        <v>840.32</v>
      </c>
      <c r="H335" s="191">
        <v>420.16</v>
      </c>
      <c r="I335" s="191">
        <v>420.16</v>
      </c>
      <c r="J335" s="191">
        <v>420.16</v>
      </c>
      <c r="K335" s="191">
        <v>750.3</v>
      </c>
      <c r="L335" s="191">
        <v>465.36</v>
      </c>
      <c r="M335" s="191">
        <v>465.36</v>
      </c>
      <c r="N335" s="191">
        <v>465.36</v>
      </c>
      <c r="O335" s="191">
        <v>465.36</v>
      </c>
      <c r="P335" s="193">
        <v>1015.92</v>
      </c>
    </row>
    <row r="336" spans="1:16" x14ac:dyDescent="0.25">
      <c r="A336" s="190">
        <v>801010402</v>
      </c>
      <c r="B336" s="190" t="s">
        <v>432</v>
      </c>
      <c r="C336" s="190">
        <v>1511</v>
      </c>
      <c r="D336" s="190" t="s">
        <v>408</v>
      </c>
      <c r="E336" s="191">
        <v>0</v>
      </c>
      <c r="F336" s="191">
        <v>490.82</v>
      </c>
      <c r="G336" s="191">
        <v>981.64</v>
      </c>
      <c r="H336" s="191">
        <v>490.82</v>
      </c>
      <c r="I336" s="191">
        <v>490.82</v>
      </c>
      <c r="J336" s="191">
        <v>490.82</v>
      </c>
      <c r="K336" s="191">
        <v>920.33</v>
      </c>
      <c r="L336" s="191">
        <v>541.08000000000004</v>
      </c>
      <c r="M336" s="191">
        <v>541.08000000000004</v>
      </c>
      <c r="N336" s="191">
        <v>541.08000000000004</v>
      </c>
      <c r="O336" s="191">
        <v>541.08000000000004</v>
      </c>
      <c r="P336" s="193">
        <v>1127.21</v>
      </c>
    </row>
    <row r="337" spans="1:16" x14ac:dyDescent="0.25">
      <c r="A337" s="190">
        <v>801010402</v>
      </c>
      <c r="B337" s="190" t="s">
        <v>433</v>
      </c>
      <c r="C337" s="190">
        <v>1511</v>
      </c>
      <c r="D337" s="190" t="s">
        <v>408</v>
      </c>
      <c r="E337" s="191">
        <v>0</v>
      </c>
      <c r="F337" s="191">
        <v>140.56</v>
      </c>
      <c r="G337" s="191">
        <v>281.12</v>
      </c>
      <c r="H337" s="191">
        <v>140.56</v>
      </c>
      <c r="I337" s="191">
        <v>140.56</v>
      </c>
      <c r="J337" s="191">
        <v>140.56</v>
      </c>
      <c r="K337" s="191">
        <v>297.33</v>
      </c>
      <c r="L337" s="191">
        <v>163.80000000000001</v>
      </c>
      <c r="M337" s="191">
        <v>163.80000000000001</v>
      </c>
      <c r="N337" s="191">
        <v>163.80000000000001</v>
      </c>
      <c r="O337" s="191">
        <v>163.80000000000001</v>
      </c>
      <c r="P337" s="191">
        <v>163.80000000000001</v>
      </c>
    </row>
    <row r="338" spans="1:16" x14ac:dyDescent="0.25">
      <c r="A338" s="190">
        <v>801010402</v>
      </c>
      <c r="B338" s="190" t="s">
        <v>434</v>
      </c>
      <c r="C338" s="190">
        <v>1511</v>
      </c>
      <c r="D338" s="190" t="s">
        <v>408</v>
      </c>
      <c r="E338" s="191">
        <v>0</v>
      </c>
      <c r="F338" s="191">
        <v>140.56</v>
      </c>
      <c r="G338" s="191">
        <v>281.12</v>
      </c>
      <c r="H338" s="191">
        <v>140.56</v>
      </c>
      <c r="I338" s="191">
        <v>140.56</v>
      </c>
      <c r="J338" s="191">
        <v>140.56</v>
      </c>
      <c r="K338" s="191">
        <v>243.93</v>
      </c>
      <c r="L338" s="191">
        <v>163.80000000000001</v>
      </c>
      <c r="M338" s="191">
        <v>163.80000000000001</v>
      </c>
      <c r="N338" s="191">
        <v>163.80000000000001</v>
      </c>
      <c r="O338" s="191">
        <v>163.80000000000001</v>
      </c>
      <c r="P338" s="191">
        <v>163.80000000000001</v>
      </c>
    </row>
    <row r="339" spans="1:16" x14ac:dyDescent="0.25">
      <c r="A339" s="190">
        <v>801010402</v>
      </c>
      <c r="B339" s="190" t="s">
        <v>435</v>
      </c>
      <c r="C339" s="190">
        <v>1511</v>
      </c>
      <c r="D339" s="190" t="s">
        <v>408</v>
      </c>
      <c r="E339" s="191">
        <v>0</v>
      </c>
      <c r="F339" s="191">
        <v>113.22</v>
      </c>
      <c r="G339" s="191">
        <v>75.48</v>
      </c>
      <c r="H339" s="191">
        <v>75.48</v>
      </c>
      <c r="I339" s="191">
        <v>75.48</v>
      </c>
      <c r="J339" s="191">
        <v>140.56</v>
      </c>
      <c r="K339" s="191">
        <v>247.4</v>
      </c>
      <c r="L339" s="191">
        <v>163.80000000000001</v>
      </c>
      <c r="M339" s="191">
        <v>163.80000000000001</v>
      </c>
      <c r="N339" s="191">
        <v>163.80000000000001</v>
      </c>
      <c r="O339" s="191">
        <v>163.80000000000001</v>
      </c>
      <c r="P339" s="191">
        <v>163.80000000000001</v>
      </c>
    </row>
    <row r="340" spans="1:16" x14ac:dyDescent="0.25">
      <c r="A340" s="190">
        <v>801010402</v>
      </c>
      <c r="B340" s="190" t="s">
        <v>436</v>
      </c>
      <c r="C340" s="190">
        <v>1511</v>
      </c>
      <c r="D340" s="190" t="s">
        <v>408</v>
      </c>
      <c r="E340" s="191">
        <v>0</v>
      </c>
      <c r="F340" s="191">
        <v>140.56</v>
      </c>
      <c r="G340" s="191">
        <v>248.58</v>
      </c>
      <c r="H340" s="191">
        <v>140.56</v>
      </c>
      <c r="I340" s="191">
        <v>140.56</v>
      </c>
      <c r="J340" s="191">
        <v>140.56</v>
      </c>
      <c r="K340" s="191">
        <v>273.43</v>
      </c>
      <c r="L340" s="191">
        <v>163.80000000000001</v>
      </c>
      <c r="M340" s="191">
        <v>163.80000000000001</v>
      </c>
      <c r="N340" s="191">
        <v>163.80000000000001</v>
      </c>
      <c r="O340" s="191">
        <v>163.80000000000001</v>
      </c>
      <c r="P340" s="191">
        <v>163.80000000000001</v>
      </c>
    </row>
    <row r="341" spans="1:16" x14ac:dyDescent="0.25">
      <c r="A341" s="190">
        <v>801010402</v>
      </c>
      <c r="B341" s="190" t="s">
        <v>437</v>
      </c>
      <c r="C341" s="190">
        <v>1511</v>
      </c>
      <c r="D341" s="190" t="s">
        <v>408</v>
      </c>
      <c r="E341" s="191">
        <v>0</v>
      </c>
      <c r="F341" s="193">
        <v>1547.34</v>
      </c>
      <c r="G341" s="193">
        <v>3094.67</v>
      </c>
      <c r="H341" s="193">
        <v>1508.71</v>
      </c>
      <c r="I341" s="193">
        <v>1470.08</v>
      </c>
      <c r="J341" s="193">
        <v>1547.34</v>
      </c>
      <c r="K341" s="193">
        <v>2925.78</v>
      </c>
      <c r="L341" s="193">
        <v>1730.22</v>
      </c>
      <c r="M341" s="193">
        <v>1730.22</v>
      </c>
      <c r="N341" s="193">
        <v>1730.22</v>
      </c>
      <c r="O341" s="193">
        <v>1696.45</v>
      </c>
      <c r="P341" s="193">
        <v>3555.47</v>
      </c>
    </row>
    <row r="342" spans="1:16" x14ac:dyDescent="0.25">
      <c r="A342" s="190">
        <v>801010402</v>
      </c>
      <c r="B342" s="190" t="s">
        <v>407</v>
      </c>
      <c r="C342" s="190">
        <v>1512</v>
      </c>
      <c r="D342" s="190" t="s">
        <v>408</v>
      </c>
      <c r="E342" s="191">
        <v>0</v>
      </c>
      <c r="F342" s="193">
        <v>40009.94</v>
      </c>
      <c r="G342" s="193">
        <v>80720.86</v>
      </c>
      <c r="H342" s="193">
        <v>41411.9</v>
      </c>
      <c r="I342" s="193">
        <v>40535.68</v>
      </c>
      <c r="J342" s="193">
        <v>39133.72</v>
      </c>
      <c r="K342" s="193">
        <v>44423.1</v>
      </c>
      <c r="L342" s="193">
        <v>48368.34</v>
      </c>
      <c r="M342" s="193">
        <v>50120.78</v>
      </c>
      <c r="N342" s="193">
        <v>51763.91</v>
      </c>
      <c r="O342" s="193">
        <v>52005.08</v>
      </c>
      <c r="P342" s="193">
        <v>50252.639999999999</v>
      </c>
    </row>
    <row r="343" spans="1:16" x14ac:dyDescent="0.25">
      <c r="A343" s="190">
        <v>801010402</v>
      </c>
      <c r="B343" s="190" t="s">
        <v>410</v>
      </c>
      <c r="C343" s="190">
        <v>1512</v>
      </c>
      <c r="D343" s="190" t="s">
        <v>408</v>
      </c>
      <c r="E343" s="191">
        <v>0</v>
      </c>
      <c r="F343" s="193">
        <v>2085.1799999999998</v>
      </c>
      <c r="G343" s="193">
        <v>4170.3599999999997</v>
      </c>
      <c r="H343" s="193">
        <v>2085.1799999999998</v>
      </c>
      <c r="I343" s="193">
        <v>2085.1799999999998</v>
      </c>
      <c r="J343" s="193">
        <v>2085.1799999999998</v>
      </c>
      <c r="K343" s="193">
        <v>4370.3</v>
      </c>
      <c r="L343" s="193">
        <v>2411.62</v>
      </c>
      <c r="M343" s="193">
        <v>2411.62</v>
      </c>
      <c r="N343" s="193">
        <v>2411.62</v>
      </c>
      <c r="O343" s="193">
        <v>2411.62</v>
      </c>
      <c r="P343" s="193">
        <v>2411.62</v>
      </c>
    </row>
    <row r="344" spans="1:16" x14ac:dyDescent="0.25">
      <c r="A344" s="190">
        <v>801010402</v>
      </c>
      <c r="B344" s="190" t="s">
        <v>411</v>
      </c>
      <c r="C344" s="190">
        <v>1512</v>
      </c>
      <c r="D344" s="190" t="s">
        <v>408</v>
      </c>
      <c r="E344" s="191">
        <v>0</v>
      </c>
      <c r="F344" s="193">
        <v>2085.1799999999998</v>
      </c>
      <c r="G344" s="193">
        <v>4170.3599999999997</v>
      </c>
      <c r="H344" s="193">
        <v>2085.1799999999998</v>
      </c>
      <c r="I344" s="193">
        <v>2085.1799999999998</v>
      </c>
      <c r="J344" s="193">
        <v>2085.1799999999998</v>
      </c>
      <c r="K344" s="193">
        <v>4370.3</v>
      </c>
      <c r="L344" s="193">
        <v>2411.62</v>
      </c>
      <c r="M344" s="193">
        <v>2411.62</v>
      </c>
      <c r="N344" s="193">
        <v>2411.62</v>
      </c>
      <c r="O344" s="193">
        <v>2411.62</v>
      </c>
      <c r="P344" s="193">
        <v>2411.62</v>
      </c>
    </row>
    <row r="345" spans="1:16" x14ac:dyDescent="0.25">
      <c r="A345" s="190">
        <v>801010402</v>
      </c>
      <c r="B345" s="190" t="s">
        <v>412</v>
      </c>
      <c r="C345" s="190">
        <v>1512</v>
      </c>
      <c r="D345" s="190" t="s">
        <v>408</v>
      </c>
      <c r="E345" s="191">
        <v>0</v>
      </c>
      <c r="F345" s="193">
        <v>2085.1799999999998</v>
      </c>
      <c r="G345" s="193">
        <v>4170.3599999999997</v>
      </c>
      <c r="H345" s="193">
        <v>2085.1799999999998</v>
      </c>
      <c r="I345" s="193">
        <v>2085.1799999999998</v>
      </c>
      <c r="J345" s="193">
        <v>2085.1799999999998</v>
      </c>
      <c r="K345" s="193">
        <v>4370.3</v>
      </c>
      <c r="L345" s="193">
        <v>2411.62</v>
      </c>
      <c r="M345" s="193">
        <v>2411.62</v>
      </c>
      <c r="N345" s="193">
        <v>2411.62</v>
      </c>
      <c r="O345" s="193">
        <v>2411.62</v>
      </c>
      <c r="P345" s="193">
        <v>2411.62</v>
      </c>
    </row>
    <row r="346" spans="1:16" x14ac:dyDescent="0.25">
      <c r="A346" s="190">
        <v>801010402</v>
      </c>
      <c r="B346" s="190" t="s">
        <v>413</v>
      </c>
      <c r="C346" s="190">
        <v>1512</v>
      </c>
      <c r="D346" s="190" t="s">
        <v>408</v>
      </c>
      <c r="E346" s="191">
        <v>0</v>
      </c>
      <c r="F346" s="193">
        <v>1042.5999999999999</v>
      </c>
      <c r="G346" s="193">
        <v>2085.1999999999998</v>
      </c>
      <c r="H346" s="193">
        <v>1042.5999999999999</v>
      </c>
      <c r="I346" s="193">
        <v>1042.5999999999999</v>
      </c>
      <c r="J346" s="193">
        <v>1042.5999999999999</v>
      </c>
      <c r="K346" s="193">
        <v>2185.16</v>
      </c>
      <c r="L346" s="193">
        <v>1205.82</v>
      </c>
      <c r="M346" s="193">
        <v>1205.82</v>
      </c>
      <c r="N346" s="193">
        <v>1205.82</v>
      </c>
      <c r="O346" s="193">
        <v>1205.82</v>
      </c>
      <c r="P346" s="193">
        <v>1205.82</v>
      </c>
    </row>
    <row r="347" spans="1:16" x14ac:dyDescent="0.25">
      <c r="A347" s="190">
        <v>801010402</v>
      </c>
      <c r="B347" s="190" t="s">
        <v>414</v>
      </c>
      <c r="C347" s="190">
        <v>1512</v>
      </c>
      <c r="D347" s="190" t="s">
        <v>408</v>
      </c>
      <c r="E347" s="191">
        <v>0</v>
      </c>
      <c r="F347" s="193">
        <v>2085.1799999999998</v>
      </c>
      <c r="G347" s="193">
        <v>4170.3599999999997</v>
      </c>
      <c r="H347" s="193">
        <v>2085.1799999999998</v>
      </c>
      <c r="I347" s="193">
        <v>2085.1799999999998</v>
      </c>
      <c r="J347" s="193">
        <v>2085.1799999999998</v>
      </c>
      <c r="K347" s="193">
        <v>4370.3</v>
      </c>
      <c r="L347" s="193">
        <v>2411.62</v>
      </c>
      <c r="M347" s="193">
        <v>2411.62</v>
      </c>
      <c r="N347" s="193">
        <v>2411.62</v>
      </c>
      <c r="O347" s="193">
        <v>2411.62</v>
      </c>
      <c r="P347" s="193">
        <v>2411.62</v>
      </c>
    </row>
    <row r="348" spans="1:16" x14ac:dyDescent="0.25">
      <c r="A348" s="190">
        <v>801010402</v>
      </c>
      <c r="B348" s="190" t="s">
        <v>415</v>
      </c>
      <c r="C348" s="190">
        <v>1512</v>
      </c>
      <c r="D348" s="190" t="s">
        <v>408</v>
      </c>
      <c r="E348" s="191">
        <v>0</v>
      </c>
      <c r="F348" s="193">
        <v>2085.1799999999998</v>
      </c>
      <c r="G348" s="193">
        <v>4170.3599999999997</v>
      </c>
      <c r="H348" s="193">
        <v>2085.1799999999998</v>
      </c>
      <c r="I348" s="193">
        <v>2085.1799999999998</v>
      </c>
      <c r="J348" s="193">
        <v>2085.1799999999998</v>
      </c>
      <c r="K348" s="193">
        <v>4370.3</v>
      </c>
      <c r="L348" s="193">
        <v>2248.39</v>
      </c>
      <c r="M348" s="193">
        <v>2411.62</v>
      </c>
      <c r="N348" s="193">
        <v>2411.62</v>
      </c>
      <c r="O348" s="193">
        <v>2411.62</v>
      </c>
      <c r="P348" s="193">
        <v>2411.62</v>
      </c>
    </row>
    <row r="349" spans="1:16" x14ac:dyDescent="0.25">
      <c r="A349" s="190">
        <v>801010402</v>
      </c>
      <c r="B349" s="190" t="s">
        <v>416</v>
      </c>
      <c r="C349" s="190">
        <v>1512</v>
      </c>
      <c r="D349" s="190" t="s">
        <v>408</v>
      </c>
      <c r="E349" s="191">
        <v>0</v>
      </c>
      <c r="F349" s="193">
        <v>2085.1799999999998</v>
      </c>
      <c r="G349" s="193">
        <v>4170.3599999999997</v>
      </c>
      <c r="H349" s="193">
        <v>2085.1799999999998</v>
      </c>
      <c r="I349" s="193">
        <v>2085.1799999999998</v>
      </c>
      <c r="J349" s="193">
        <v>2085.1799999999998</v>
      </c>
      <c r="K349" s="193">
        <v>4370.3</v>
      </c>
      <c r="L349" s="193">
        <v>2411.62</v>
      </c>
      <c r="M349" s="193">
        <v>2411.62</v>
      </c>
      <c r="N349" s="193">
        <v>2411.62</v>
      </c>
      <c r="O349" s="193">
        <v>2411.62</v>
      </c>
      <c r="P349" s="193">
        <v>2411.62</v>
      </c>
    </row>
    <row r="350" spans="1:16" x14ac:dyDescent="0.25">
      <c r="A350" s="190">
        <v>801010402</v>
      </c>
      <c r="B350" s="190" t="s">
        <v>417</v>
      </c>
      <c r="C350" s="190">
        <v>1512</v>
      </c>
      <c r="D350" s="190" t="s">
        <v>408</v>
      </c>
      <c r="E350" s="191">
        <v>0</v>
      </c>
      <c r="F350" s="193">
        <v>2085.1799999999998</v>
      </c>
      <c r="G350" s="193">
        <v>4170.3599999999997</v>
      </c>
      <c r="H350" s="193">
        <v>2085.1799999999998</v>
      </c>
      <c r="I350" s="193">
        <v>2085.1799999999998</v>
      </c>
      <c r="J350" s="193">
        <v>2085.1799999999998</v>
      </c>
      <c r="K350" s="193">
        <v>4370.3</v>
      </c>
      <c r="L350" s="193">
        <v>2411.62</v>
      </c>
      <c r="M350" s="193">
        <v>2411.62</v>
      </c>
      <c r="N350" s="193">
        <v>2411.62</v>
      </c>
      <c r="O350" s="193">
        <v>2411.62</v>
      </c>
      <c r="P350" s="193">
        <v>2411.62</v>
      </c>
    </row>
    <row r="351" spans="1:16" x14ac:dyDescent="0.25">
      <c r="A351" s="190">
        <v>801010402</v>
      </c>
      <c r="B351" s="190" t="s">
        <v>419</v>
      </c>
      <c r="C351" s="190">
        <v>1512</v>
      </c>
      <c r="D351" s="190" t="s">
        <v>408</v>
      </c>
      <c r="E351" s="191">
        <v>0</v>
      </c>
      <c r="F351" s="193">
        <v>2085.1799999999998</v>
      </c>
      <c r="G351" s="193">
        <v>4170.3599999999997</v>
      </c>
      <c r="H351" s="193">
        <v>2085.1799999999998</v>
      </c>
      <c r="I351" s="193">
        <v>2085.1799999999998</v>
      </c>
      <c r="J351" s="193">
        <v>2085.1799999999998</v>
      </c>
      <c r="K351" s="193">
        <v>4370.3</v>
      </c>
      <c r="L351" s="193">
        <v>2411.62</v>
      </c>
      <c r="M351" s="193">
        <v>2411.62</v>
      </c>
      <c r="N351" s="193">
        <v>2411.62</v>
      </c>
      <c r="O351" s="193">
        <v>2411.62</v>
      </c>
      <c r="P351" s="193">
        <v>2411.62</v>
      </c>
    </row>
    <row r="352" spans="1:16" x14ac:dyDescent="0.25">
      <c r="A352" s="190">
        <v>801010402</v>
      </c>
      <c r="B352" s="190" t="s">
        <v>420</v>
      </c>
      <c r="C352" s="190">
        <v>1512</v>
      </c>
      <c r="D352" s="190" t="s">
        <v>408</v>
      </c>
      <c r="E352" s="191">
        <v>0</v>
      </c>
      <c r="F352" s="193">
        <v>2085.1799999999998</v>
      </c>
      <c r="G352" s="193">
        <v>4170.3599999999997</v>
      </c>
      <c r="H352" s="193">
        <v>2085.1799999999998</v>
      </c>
      <c r="I352" s="193">
        <v>2085.1799999999998</v>
      </c>
      <c r="J352" s="193">
        <v>3852.39</v>
      </c>
      <c r="K352" s="193">
        <v>4370.3</v>
      </c>
      <c r="L352" s="193">
        <v>2411.62</v>
      </c>
      <c r="M352" s="193">
        <v>2411.62</v>
      </c>
      <c r="N352" s="193">
        <v>2411.62</v>
      </c>
      <c r="O352" s="193">
        <v>2411.62</v>
      </c>
      <c r="P352" s="193">
        <v>2411.62</v>
      </c>
    </row>
    <row r="353" spans="1:16" x14ac:dyDescent="0.25">
      <c r="A353" s="190">
        <v>801010402</v>
      </c>
      <c r="B353" s="190" t="s">
        <v>421</v>
      </c>
      <c r="C353" s="190">
        <v>1512</v>
      </c>
      <c r="D353" s="190" t="s">
        <v>408</v>
      </c>
      <c r="E353" s="191">
        <v>0</v>
      </c>
      <c r="F353" s="193">
        <v>2085.1799999999998</v>
      </c>
      <c r="G353" s="193">
        <v>4170.3599999999997</v>
      </c>
      <c r="H353" s="193">
        <v>2085.1799999999998</v>
      </c>
      <c r="I353" s="193">
        <v>2085.4899999999998</v>
      </c>
      <c r="J353" s="193">
        <v>2085.1799999999998</v>
      </c>
      <c r="K353" s="193">
        <v>4370.3</v>
      </c>
      <c r="L353" s="193">
        <v>2411.62</v>
      </c>
      <c r="M353" s="193">
        <v>2411.62</v>
      </c>
      <c r="N353" s="193">
        <v>2411.62</v>
      </c>
      <c r="O353" s="193">
        <v>2411.62</v>
      </c>
      <c r="P353" s="193">
        <v>2411.62</v>
      </c>
    </row>
    <row r="354" spans="1:16" x14ac:dyDescent="0.25">
      <c r="A354" s="190">
        <v>801010402</v>
      </c>
      <c r="B354" s="190" t="s">
        <v>422</v>
      </c>
      <c r="C354" s="190">
        <v>1512</v>
      </c>
      <c r="D354" s="190" t="s">
        <v>408</v>
      </c>
      <c r="E354" s="191">
        <v>0</v>
      </c>
      <c r="F354" s="193">
        <v>2085.1799999999998</v>
      </c>
      <c r="G354" s="193">
        <v>4170.3599999999997</v>
      </c>
      <c r="H354" s="193">
        <v>2085.1799999999998</v>
      </c>
      <c r="I354" s="193">
        <v>2085.1799999999998</v>
      </c>
      <c r="J354" s="193">
        <v>2085.1799999999998</v>
      </c>
      <c r="K354" s="193">
        <v>4370.3</v>
      </c>
      <c r="L354" s="193">
        <v>2411.62</v>
      </c>
      <c r="M354" s="193">
        <v>2411.62</v>
      </c>
      <c r="N354" s="193">
        <v>2411.62</v>
      </c>
      <c r="O354" s="193">
        <v>2411.62</v>
      </c>
      <c r="P354" s="193">
        <v>2411.62</v>
      </c>
    </row>
    <row r="355" spans="1:16" x14ac:dyDescent="0.25">
      <c r="A355" s="190">
        <v>801010402</v>
      </c>
      <c r="B355" s="190" t="s">
        <v>423</v>
      </c>
      <c r="C355" s="190">
        <v>1512</v>
      </c>
      <c r="D355" s="190" t="s">
        <v>408</v>
      </c>
      <c r="E355" s="191">
        <v>0</v>
      </c>
      <c r="F355" s="193">
        <v>1042.5999999999999</v>
      </c>
      <c r="G355" s="193">
        <v>2085.1999999999998</v>
      </c>
      <c r="H355" s="193">
        <v>1042.5999999999999</v>
      </c>
      <c r="I355" s="193">
        <v>1042.5999999999999</v>
      </c>
      <c r="J355" s="193">
        <v>1042.5999999999999</v>
      </c>
      <c r="K355" s="193">
        <v>2185.16</v>
      </c>
      <c r="L355" s="193">
        <v>1205.82</v>
      </c>
      <c r="M355" s="193">
        <v>1205.82</v>
      </c>
      <c r="N355" s="193">
        <v>1205.82</v>
      </c>
      <c r="O355" s="193">
        <v>1205.82</v>
      </c>
      <c r="P355" s="193">
        <v>1205.82</v>
      </c>
    </row>
    <row r="356" spans="1:16" x14ac:dyDescent="0.25">
      <c r="A356" s="190">
        <v>801010402</v>
      </c>
      <c r="B356" s="190" t="s">
        <v>424</v>
      </c>
      <c r="C356" s="190">
        <v>1512</v>
      </c>
      <c r="D356" s="190" t="s">
        <v>408</v>
      </c>
      <c r="E356" s="191">
        <v>0</v>
      </c>
      <c r="F356" s="193">
        <v>2085.1799999999998</v>
      </c>
      <c r="G356" s="193">
        <v>4170.3599999999997</v>
      </c>
      <c r="H356" s="193">
        <v>2085.1799999999998</v>
      </c>
      <c r="I356" s="193">
        <v>2085.1799999999998</v>
      </c>
      <c r="J356" s="193">
        <v>2085.1799999999998</v>
      </c>
      <c r="K356" s="193">
        <v>4370.3</v>
      </c>
      <c r="L356" s="193">
        <v>2411.62</v>
      </c>
      <c r="M356" s="193">
        <v>2411.62</v>
      </c>
      <c r="N356" s="193">
        <v>2411.62</v>
      </c>
      <c r="O356" s="193">
        <v>2411.62</v>
      </c>
      <c r="P356" s="193">
        <v>2411.62</v>
      </c>
    </row>
    <row r="357" spans="1:16" x14ac:dyDescent="0.25">
      <c r="A357" s="190">
        <v>801010402</v>
      </c>
      <c r="B357" s="190" t="s">
        <v>425</v>
      </c>
      <c r="C357" s="190">
        <v>1512</v>
      </c>
      <c r="D357" s="190" t="s">
        <v>408</v>
      </c>
      <c r="E357" s="191">
        <v>0</v>
      </c>
      <c r="F357" s="193">
        <v>2085.1799999999998</v>
      </c>
      <c r="G357" s="193">
        <v>4170.3599999999997</v>
      </c>
      <c r="H357" s="193">
        <v>1042.5899999999999</v>
      </c>
      <c r="I357" s="191">
        <v>0</v>
      </c>
      <c r="J357" s="191">
        <v>0</v>
      </c>
      <c r="K357" s="193">
        <v>2411.63</v>
      </c>
      <c r="L357" s="193">
        <v>2411.62</v>
      </c>
      <c r="M357" s="193">
        <v>2411.62</v>
      </c>
      <c r="N357" s="193">
        <v>2411.62</v>
      </c>
      <c r="O357" s="193">
        <v>2411.62</v>
      </c>
      <c r="P357" s="193">
        <v>2411.62</v>
      </c>
    </row>
    <row r="358" spans="1:16" x14ac:dyDescent="0.25">
      <c r="A358" s="190">
        <v>801010402</v>
      </c>
      <c r="B358" s="190" t="s">
        <v>426</v>
      </c>
      <c r="C358" s="190">
        <v>1512</v>
      </c>
      <c r="D358" s="190" t="s">
        <v>408</v>
      </c>
      <c r="E358" s="191">
        <v>0</v>
      </c>
      <c r="F358" s="193">
        <v>2085.1799999999998</v>
      </c>
      <c r="G358" s="193">
        <v>4170.3599999999997</v>
      </c>
      <c r="H358" s="193">
        <v>2085.1799999999998</v>
      </c>
      <c r="I358" s="193">
        <v>2085.1799999999998</v>
      </c>
      <c r="J358" s="193">
        <v>2085.1799999999998</v>
      </c>
      <c r="K358" s="193">
        <v>4370.3</v>
      </c>
      <c r="L358" s="193">
        <v>2411.62</v>
      </c>
      <c r="M358" s="193">
        <v>2411.62</v>
      </c>
      <c r="N358" s="193">
        <v>2411.62</v>
      </c>
      <c r="O358" s="193">
        <v>2411.62</v>
      </c>
      <c r="P358" s="193">
        <v>2411.62</v>
      </c>
    </row>
    <row r="359" spans="1:16" x14ac:dyDescent="0.25">
      <c r="A359" s="190">
        <v>801010402</v>
      </c>
      <c r="B359" s="190" t="s">
        <v>427</v>
      </c>
      <c r="C359" s="190">
        <v>1512</v>
      </c>
      <c r="D359" s="190" t="s">
        <v>408</v>
      </c>
      <c r="E359" s="191">
        <v>0</v>
      </c>
      <c r="F359" s="193">
        <v>2085.1799999999998</v>
      </c>
      <c r="G359" s="193">
        <v>4170.3599999999997</v>
      </c>
      <c r="H359" s="193">
        <v>2085.1799999999998</v>
      </c>
      <c r="I359" s="193">
        <v>2085.1799999999998</v>
      </c>
      <c r="J359" s="193">
        <v>2085.1799999999998</v>
      </c>
      <c r="K359" s="193">
        <v>4370.3</v>
      </c>
      <c r="L359" s="193">
        <v>2411.62</v>
      </c>
      <c r="M359" s="193">
        <v>2411.62</v>
      </c>
      <c r="N359" s="193">
        <v>2411.62</v>
      </c>
      <c r="O359" s="193">
        <v>2411.62</v>
      </c>
      <c r="P359" s="193">
        <v>2411.62</v>
      </c>
    </row>
    <row r="360" spans="1:16" x14ac:dyDescent="0.25">
      <c r="A360" s="190">
        <v>801010402</v>
      </c>
      <c r="B360" s="190" t="s">
        <v>428</v>
      </c>
      <c r="C360" s="190">
        <v>1512</v>
      </c>
      <c r="D360" s="190" t="s">
        <v>408</v>
      </c>
      <c r="E360" s="191">
        <v>0</v>
      </c>
      <c r="F360" s="193">
        <v>2085.1799999999998</v>
      </c>
      <c r="G360" s="193">
        <v>4170.3599999999997</v>
      </c>
      <c r="H360" s="193">
        <v>2085.1799999999998</v>
      </c>
      <c r="I360" s="193">
        <v>2085.1799999999998</v>
      </c>
      <c r="J360" s="193">
        <v>2085.1799999999998</v>
      </c>
      <c r="K360" s="193">
        <v>4370.3</v>
      </c>
      <c r="L360" s="193">
        <v>2411.62</v>
      </c>
      <c r="M360" s="193">
        <v>2411.62</v>
      </c>
      <c r="N360" s="193">
        <v>2411.62</v>
      </c>
      <c r="O360" s="193">
        <v>2411.62</v>
      </c>
      <c r="P360" s="193">
        <v>2411.62</v>
      </c>
    </row>
    <row r="361" spans="1:16" x14ac:dyDescent="0.25">
      <c r="A361" s="190">
        <v>801010402</v>
      </c>
      <c r="B361" s="190" t="s">
        <v>429</v>
      </c>
      <c r="C361" s="190">
        <v>1512</v>
      </c>
      <c r="D361" s="190" t="s">
        <v>408</v>
      </c>
      <c r="E361" s="191">
        <v>0</v>
      </c>
      <c r="F361" s="193">
        <v>2085.1799999999998</v>
      </c>
      <c r="G361" s="193">
        <v>4170.3599999999997</v>
      </c>
      <c r="H361" s="193">
        <v>2085.1799999999998</v>
      </c>
      <c r="I361" s="193">
        <v>2085.1799999999998</v>
      </c>
      <c r="J361" s="193">
        <v>2085.1799999999998</v>
      </c>
      <c r="K361" s="193">
        <v>4370.3</v>
      </c>
      <c r="L361" s="193">
        <v>2411.62</v>
      </c>
      <c r="M361" s="193">
        <v>2411.62</v>
      </c>
      <c r="N361" s="193">
        <v>2411.62</v>
      </c>
      <c r="O361" s="193">
        <v>2411.62</v>
      </c>
      <c r="P361" s="193">
        <v>2411.62</v>
      </c>
    </row>
    <row r="362" spans="1:16" x14ac:dyDescent="0.25">
      <c r="A362" s="190">
        <v>801010402</v>
      </c>
      <c r="B362" s="190" t="s">
        <v>430</v>
      </c>
      <c r="C362" s="190">
        <v>1512</v>
      </c>
      <c r="D362" s="190" t="s">
        <v>408</v>
      </c>
      <c r="E362" s="191">
        <v>0</v>
      </c>
      <c r="F362" s="193">
        <v>2085.1799999999998</v>
      </c>
      <c r="G362" s="193">
        <v>4170.3599999999997</v>
      </c>
      <c r="H362" s="193">
        <v>2085.1799999999998</v>
      </c>
      <c r="I362" s="191">
        <v>0</v>
      </c>
      <c r="J362" s="191">
        <v>0</v>
      </c>
      <c r="K362" s="193">
        <v>2511.59</v>
      </c>
      <c r="L362" s="193">
        <v>2411.62</v>
      </c>
      <c r="M362" s="193">
        <v>2411.62</v>
      </c>
      <c r="N362" s="193">
        <v>2411.62</v>
      </c>
      <c r="O362" s="193">
        <v>2411.62</v>
      </c>
      <c r="P362" s="193">
        <v>2411.62</v>
      </c>
    </row>
    <row r="363" spans="1:16" x14ac:dyDescent="0.25">
      <c r="A363" s="190">
        <v>801010402</v>
      </c>
      <c r="B363" s="190" t="s">
        <v>431</v>
      </c>
      <c r="C363" s="190">
        <v>1512</v>
      </c>
      <c r="D363" s="190" t="s">
        <v>408</v>
      </c>
      <c r="E363" s="191">
        <v>0</v>
      </c>
      <c r="F363" s="193">
        <v>2085.1799999999998</v>
      </c>
      <c r="G363" s="193">
        <v>4170.3599999999997</v>
      </c>
      <c r="H363" s="193">
        <v>2085.1799999999998</v>
      </c>
      <c r="I363" s="193">
        <v>2085.1799999999998</v>
      </c>
      <c r="J363" s="193">
        <v>2085.1799999999998</v>
      </c>
      <c r="K363" s="193">
        <v>4370.3</v>
      </c>
      <c r="L363" s="193">
        <v>2411.62</v>
      </c>
      <c r="M363" s="193">
        <v>2411.62</v>
      </c>
      <c r="N363" s="193">
        <v>2411.62</v>
      </c>
      <c r="O363" s="193">
        <v>2411.62</v>
      </c>
      <c r="P363" s="193">
        <v>2411.62</v>
      </c>
    </row>
    <row r="364" spans="1:16" x14ac:dyDescent="0.25">
      <c r="A364" s="190">
        <v>801010402</v>
      </c>
      <c r="B364" s="190" t="s">
        <v>432</v>
      </c>
      <c r="C364" s="190">
        <v>1512</v>
      </c>
      <c r="D364" s="190" t="s">
        <v>408</v>
      </c>
      <c r="E364" s="191">
        <v>0</v>
      </c>
      <c r="F364" s="193">
        <v>2085.1799999999998</v>
      </c>
      <c r="G364" s="193">
        <v>4170.3599999999997</v>
      </c>
      <c r="H364" s="193">
        <v>2085.1799999999998</v>
      </c>
      <c r="I364" s="193">
        <v>2085.1799999999998</v>
      </c>
      <c r="J364" s="193">
        <v>2085.1799999999998</v>
      </c>
      <c r="K364" s="193">
        <v>4370.3</v>
      </c>
      <c r="L364" s="193">
        <v>2411.62</v>
      </c>
      <c r="M364" s="193">
        <v>2411.62</v>
      </c>
      <c r="N364" s="193">
        <v>2411.62</v>
      </c>
      <c r="O364" s="193">
        <v>2411.62</v>
      </c>
      <c r="P364" s="193">
        <v>2411.62</v>
      </c>
    </row>
    <row r="365" spans="1:16" x14ac:dyDescent="0.25">
      <c r="A365" s="190">
        <v>801010402</v>
      </c>
      <c r="B365" s="190" t="s">
        <v>433</v>
      </c>
      <c r="C365" s="190">
        <v>1512</v>
      </c>
      <c r="D365" s="190" t="s">
        <v>408</v>
      </c>
      <c r="E365" s="191">
        <v>0</v>
      </c>
      <c r="F365" s="193">
        <v>1042.5999999999999</v>
      </c>
      <c r="G365" s="193">
        <v>2085.1999999999998</v>
      </c>
      <c r="H365" s="193">
        <v>1042.5999999999999</v>
      </c>
      <c r="I365" s="193">
        <v>1042.5999999999999</v>
      </c>
      <c r="J365" s="193">
        <v>1042.5999999999999</v>
      </c>
      <c r="K365" s="193">
        <v>2185.16</v>
      </c>
      <c r="L365" s="193">
        <v>1205.82</v>
      </c>
      <c r="M365" s="193">
        <v>1205.82</v>
      </c>
      <c r="N365" s="193">
        <v>1205.82</v>
      </c>
      <c r="O365" s="193">
        <v>1205.82</v>
      </c>
      <c r="P365" s="193">
        <v>1205.82</v>
      </c>
    </row>
    <row r="366" spans="1:16" x14ac:dyDescent="0.25">
      <c r="A366" s="190">
        <v>801010402</v>
      </c>
      <c r="B366" s="190" t="s">
        <v>434</v>
      </c>
      <c r="C366" s="190">
        <v>1512</v>
      </c>
      <c r="D366" s="190" t="s">
        <v>408</v>
      </c>
      <c r="E366" s="191">
        <v>0</v>
      </c>
      <c r="F366" s="193">
        <v>2085.1799999999998</v>
      </c>
      <c r="G366" s="193">
        <v>4170.3599999999997</v>
      </c>
      <c r="H366" s="193">
        <v>2085.1799999999998</v>
      </c>
      <c r="I366" s="193">
        <v>2085.1799999999998</v>
      </c>
      <c r="J366" s="193">
        <v>2085.1799999999998</v>
      </c>
      <c r="K366" s="193">
        <v>4370.3</v>
      </c>
      <c r="L366" s="193">
        <v>2411.62</v>
      </c>
      <c r="M366" s="193">
        <v>2411.62</v>
      </c>
      <c r="N366" s="193">
        <v>2411.62</v>
      </c>
      <c r="O366" s="193">
        <v>2411.62</v>
      </c>
      <c r="P366" s="193">
        <v>2411.62</v>
      </c>
    </row>
    <row r="367" spans="1:16" x14ac:dyDescent="0.25">
      <c r="A367" s="190">
        <v>801010402</v>
      </c>
      <c r="B367" s="190" t="s">
        <v>435</v>
      </c>
      <c r="C367" s="190">
        <v>1512</v>
      </c>
      <c r="D367" s="190" t="s">
        <v>408</v>
      </c>
      <c r="E367" s="191">
        <v>0</v>
      </c>
      <c r="F367" s="193">
        <v>1563.9</v>
      </c>
      <c r="G367" s="193">
        <v>1042.5999999999999</v>
      </c>
      <c r="H367" s="193">
        <v>1042.5999999999999</v>
      </c>
      <c r="I367" s="193">
        <v>1042.5999999999999</v>
      </c>
      <c r="J367" s="193">
        <v>1042.5999999999999</v>
      </c>
      <c r="K367" s="193">
        <v>2185.16</v>
      </c>
      <c r="L367" s="193">
        <v>1205.82</v>
      </c>
      <c r="M367" s="193">
        <v>1205.82</v>
      </c>
      <c r="N367" s="193">
        <v>1205.82</v>
      </c>
      <c r="O367" s="193">
        <v>1205.82</v>
      </c>
      <c r="P367" s="193">
        <v>1205.82</v>
      </c>
    </row>
    <row r="368" spans="1:16" x14ac:dyDescent="0.25">
      <c r="A368" s="190">
        <v>801010402</v>
      </c>
      <c r="B368" s="190" t="s">
        <v>436</v>
      </c>
      <c r="C368" s="190">
        <v>1512</v>
      </c>
      <c r="D368" s="190" t="s">
        <v>408</v>
      </c>
      <c r="E368" s="191">
        <v>0</v>
      </c>
      <c r="F368" s="191">
        <v>417.04</v>
      </c>
      <c r="G368" s="191">
        <v>834.08</v>
      </c>
      <c r="H368" s="191">
        <v>417.04</v>
      </c>
      <c r="I368" s="191">
        <v>417.04</v>
      </c>
      <c r="J368" s="191">
        <v>417.04</v>
      </c>
      <c r="K368" s="191">
        <v>874.06</v>
      </c>
      <c r="L368" s="193">
        <v>1446.97</v>
      </c>
      <c r="M368" s="193">
        <v>2411.62</v>
      </c>
      <c r="N368" s="193">
        <v>2411.62</v>
      </c>
      <c r="O368" s="193">
        <v>2411.62</v>
      </c>
      <c r="P368" s="193">
        <v>2411.62</v>
      </c>
    </row>
    <row r="369" spans="1:16" x14ac:dyDescent="0.25">
      <c r="A369" s="190">
        <v>801010402</v>
      </c>
      <c r="B369" s="190" t="s">
        <v>437</v>
      </c>
      <c r="C369" s="190">
        <v>1512</v>
      </c>
      <c r="D369" s="190" t="s">
        <v>408</v>
      </c>
      <c r="E369" s="191">
        <v>0</v>
      </c>
      <c r="F369" s="191">
        <v>350.48</v>
      </c>
      <c r="G369" s="191">
        <v>700.96</v>
      </c>
      <c r="H369" s="191">
        <v>350.48</v>
      </c>
      <c r="I369" s="191">
        <v>350.48</v>
      </c>
      <c r="J369" s="191">
        <v>350.48</v>
      </c>
      <c r="K369" s="191">
        <v>350.48</v>
      </c>
      <c r="L369" s="191">
        <v>416.41</v>
      </c>
      <c r="M369" s="191">
        <v>482.34</v>
      </c>
      <c r="N369" s="191">
        <v>241.17</v>
      </c>
      <c r="O369" s="191">
        <v>0</v>
      </c>
      <c r="P369" s="191">
        <v>0</v>
      </c>
    </row>
    <row r="370" spans="1:16" x14ac:dyDescent="0.25">
      <c r="A370" s="190">
        <v>801010402</v>
      </c>
      <c r="B370" s="190" t="s">
        <v>407</v>
      </c>
      <c r="C370" s="190">
        <v>1595</v>
      </c>
      <c r="D370" s="190" t="s">
        <v>408</v>
      </c>
      <c r="E370" s="193">
        <v>20245.009999999998</v>
      </c>
      <c r="F370" s="193">
        <v>21333.53</v>
      </c>
      <c r="G370" s="193">
        <v>23324.74</v>
      </c>
      <c r="H370" s="193">
        <v>23338.42</v>
      </c>
      <c r="I370" s="193">
        <v>25267.32</v>
      </c>
      <c r="J370" s="193">
        <v>26486.85</v>
      </c>
      <c r="K370" s="193">
        <v>23021.279999999999</v>
      </c>
      <c r="L370" s="193">
        <v>23620.51</v>
      </c>
      <c r="M370" s="193">
        <v>28519.8</v>
      </c>
      <c r="N370" s="193">
        <v>29263.72</v>
      </c>
      <c r="O370" s="193">
        <v>30262.47</v>
      </c>
      <c r="P370" s="193">
        <v>30779.119999999999</v>
      </c>
    </row>
    <row r="371" spans="1:16" x14ac:dyDescent="0.25">
      <c r="A371" s="190">
        <v>801010402</v>
      </c>
      <c r="B371" s="190" t="s">
        <v>410</v>
      </c>
      <c r="C371" s="190">
        <v>1595</v>
      </c>
      <c r="D371" s="190" t="s">
        <v>408</v>
      </c>
      <c r="E371" s="193">
        <v>7991.56</v>
      </c>
      <c r="F371" s="193">
        <v>6041.69</v>
      </c>
      <c r="G371" s="193">
        <v>7426.58</v>
      </c>
      <c r="H371" s="193">
        <v>7426.58</v>
      </c>
      <c r="I371" s="193">
        <v>7316.34</v>
      </c>
      <c r="J371" s="193">
        <v>7316.34</v>
      </c>
      <c r="K371" s="193">
        <v>11558.34</v>
      </c>
      <c r="L371" s="193">
        <v>5752.25</v>
      </c>
      <c r="M371" s="193">
        <v>8508.35</v>
      </c>
      <c r="N371" s="193">
        <v>9334.9500000000007</v>
      </c>
      <c r="O371" s="193">
        <v>9438.2999999999993</v>
      </c>
      <c r="P371" s="193">
        <v>9438.2999999999993</v>
      </c>
    </row>
    <row r="372" spans="1:16" x14ac:dyDescent="0.25">
      <c r="A372" s="190">
        <v>801010402</v>
      </c>
      <c r="B372" s="190" t="s">
        <v>411</v>
      </c>
      <c r="C372" s="190">
        <v>1595</v>
      </c>
      <c r="D372" s="190" t="s">
        <v>408</v>
      </c>
      <c r="E372" s="193">
        <v>6604.52</v>
      </c>
      <c r="F372" s="193">
        <v>6521.84</v>
      </c>
      <c r="G372" s="193">
        <v>6191.12</v>
      </c>
      <c r="H372" s="193">
        <v>6439.16</v>
      </c>
      <c r="I372" s="193">
        <v>6301.36</v>
      </c>
      <c r="J372" s="193">
        <v>6370.26</v>
      </c>
      <c r="K372" s="193">
        <v>9974.16</v>
      </c>
      <c r="L372" s="193">
        <v>7102.79</v>
      </c>
      <c r="M372" s="193">
        <v>8487.68</v>
      </c>
      <c r="N372" s="193">
        <v>8653.0400000000009</v>
      </c>
      <c r="O372" s="193">
        <v>8653.0400000000009</v>
      </c>
      <c r="P372" s="193">
        <v>8653.0400000000009</v>
      </c>
    </row>
    <row r="373" spans="1:16" x14ac:dyDescent="0.25">
      <c r="A373" s="190">
        <v>801010402</v>
      </c>
      <c r="B373" s="190" t="s">
        <v>412</v>
      </c>
      <c r="C373" s="190">
        <v>1595</v>
      </c>
      <c r="D373" s="190" t="s">
        <v>408</v>
      </c>
      <c r="E373" s="193">
        <v>8956.16</v>
      </c>
      <c r="F373" s="193">
        <v>8294.7199999999993</v>
      </c>
      <c r="G373" s="193">
        <v>8742.57</v>
      </c>
      <c r="H373" s="193">
        <v>8528.98</v>
      </c>
      <c r="I373" s="193">
        <v>8274.0499999999993</v>
      </c>
      <c r="J373" s="193">
        <v>8322.2800000000007</v>
      </c>
      <c r="K373" s="193">
        <v>11747.12</v>
      </c>
      <c r="L373" s="193">
        <v>5710.91</v>
      </c>
      <c r="M373" s="193">
        <v>9789.7900000000009</v>
      </c>
      <c r="N373" s="193">
        <v>10113.52</v>
      </c>
      <c r="O373" s="193">
        <v>10127.299999999999</v>
      </c>
      <c r="P373" s="193">
        <v>10127.299999999999</v>
      </c>
    </row>
    <row r="374" spans="1:16" x14ac:dyDescent="0.25">
      <c r="A374" s="190">
        <v>801010402</v>
      </c>
      <c r="B374" s="190" t="s">
        <v>413</v>
      </c>
      <c r="C374" s="190">
        <v>1595</v>
      </c>
      <c r="D374" s="190" t="s">
        <v>408</v>
      </c>
      <c r="E374" s="193">
        <v>7846.87</v>
      </c>
      <c r="F374" s="193">
        <v>7061.41</v>
      </c>
      <c r="G374" s="193">
        <v>7357.68</v>
      </c>
      <c r="H374" s="193">
        <v>7357.68</v>
      </c>
      <c r="I374" s="193">
        <v>7357.68</v>
      </c>
      <c r="J374" s="193">
        <v>7357.68</v>
      </c>
      <c r="K374" s="193">
        <v>11888.58</v>
      </c>
      <c r="L374" s="193">
        <v>6489.4</v>
      </c>
      <c r="M374" s="193">
        <v>7633.12</v>
      </c>
      <c r="N374" s="193">
        <v>8039.63</v>
      </c>
      <c r="O374" s="193">
        <v>7943.17</v>
      </c>
      <c r="P374" s="193">
        <v>7826.04</v>
      </c>
    </row>
    <row r="375" spans="1:16" x14ac:dyDescent="0.25">
      <c r="A375" s="190">
        <v>801010402</v>
      </c>
      <c r="B375" s="190" t="s">
        <v>414</v>
      </c>
      <c r="C375" s="190">
        <v>1595</v>
      </c>
      <c r="D375" s="190" t="s">
        <v>408</v>
      </c>
      <c r="E375" s="193">
        <v>8083.6</v>
      </c>
      <c r="F375" s="193">
        <v>7550.7</v>
      </c>
      <c r="G375" s="193">
        <v>8515.2000000000007</v>
      </c>
      <c r="H375" s="193">
        <v>8515.2000000000007</v>
      </c>
      <c r="I375" s="193">
        <v>7945.8</v>
      </c>
      <c r="J375" s="193">
        <v>7996.3</v>
      </c>
      <c r="K375" s="193">
        <v>10971.3</v>
      </c>
      <c r="L375" s="193">
        <v>9100.69</v>
      </c>
      <c r="M375" s="193">
        <v>10871.42</v>
      </c>
      <c r="N375" s="193">
        <v>10967.88</v>
      </c>
      <c r="O375" s="193">
        <v>11009.22</v>
      </c>
      <c r="P375" s="193">
        <v>10458.219999999999</v>
      </c>
    </row>
    <row r="376" spans="1:16" x14ac:dyDescent="0.25">
      <c r="A376" s="190">
        <v>801010402</v>
      </c>
      <c r="B376" s="190" t="s">
        <v>415</v>
      </c>
      <c r="C376" s="190">
        <v>1595</v>
      </c>
      <c r="D376" s="190" t="s">
        <v>408</v>
      </c>
      <c r="E376" s="193">
        <v>5810.02</v>
      </c>
      <c r="F376" s="193">
        <v>5506.86</v>
      </c>
      <c r="G376" s="193">
        <v>5341.5</v>
      </c>
      <c r="H376" s="193">
        <v>5479.3</v>
      </c>
      <c r="I376" s="193">
        <v>5458.63</v>
      </c>
      <c r="J376" s="193">
        <v>5224.37</v>
      </c>
      <c r="K376" s="193">
        <v>6971.2</v>
      </c>
      <c r="L376" s="193">
        <v>5711.31</v>
      </c>
      <c r="M376" s="193">
        <v>7220.22</v>
      </c>
      <c r="N376" s="193">
        <v>7461.27</v>
      </c>
      <c r="O376" s="193">
        <v>7633.52</v>
      </c>
      <c r="P376" s="193">
        <v>7633.52</v>
      </c>
    </row>
    <row r="377" spans="1:16" x14ac:dyDescent="0.25">
      <c r="A377" s="190">
        <v>801010402</v>
      </c>
      <c r="B377" s="190" t="s">
        <v>416</v>
      </c>
      <c r="C377" s="190">
        <v>1595</v>
      </c>
      <c r="D377" s="190" t="s">
        <v>408</v>
      </c>
      <c r="E377" s="193">
        <v>8212.0400000000009</v>
      </c>
      <c r="F377" s="193">
        <v>7605.72</v>
      </c>
      <c r="G377" s="193">
        <v>8046.48</v>
      </c>
      <c r="H377" s="193">
        <v>8308.2999999999993</v>
      </c>
      <c r="I377" s="193">
        <v>7757.3</v>
      </c>
      <c r="J377" s="193">
        <v>7757.3</v>
      </c>
      <c r="K377" s="193">
        <v>11292.3</v>
      </c>
      <c r="L377" s="193">
        <v>7922.5</v>
      </c>
      <c r="M377" s="193">
        <v>9720.7900000000009</v>
      </c>
      <c r="N377" s="193">
        <v>10017.06</v>
      </c>
      <c r="O377" s="193">
        <v>10258.209999999999</v>
      </c>
      <c r="P377" s="193">
        <v>10499.36</v>
      </c>
    </row>
    <row r="378" spans="1:16" x14ac:dyDescent="0.25">
      <c r="A378" s="190">
        <v>801010402</v>
      </c>
      <c r="B378" s="190" t="s">
        <v>417</v>
      </c>
      <c r="C378" s="190">
        <v>1595</v>
      </c>
      <c r="D378" s="190" t="s">
        <v>408</v>
      </c>
      <c r="E378" s="193">
        <v>10251.48</v>
      </c>
      <c r="F378" s="193">
        <v>10432.77</v>
      </c>
      <c r="G378" s="193">
        <v>11004.64</v>
      </c>
      <c r="H378" s="193">
        <v>11073.54</v>
      </c>
      <c r="I378" s="193">
        <v>11583.4</v>
      </c>
      <c r="J378" s="193">
        <v>11583.4</v>
      </c>
      <c r="K378" s="193">
        <v>16505</v>
      </c>
      <c r="L378" s="193">
        <v>12249.22</v>
      </c>
      <c r="M378" s="193">
        <v>13048.46</v>
      </c>
      <c r="N378" s="193">
        <v>13544.54</v>
      </c>
      <c r="O378" s="193">
        <v>13227.6</v>
      </c>
      <c r="P378" s="193">
        <v>13227.6</v>
      </c>
    </row>
    <row r="379" spans="1:16" x14ac:dyDescent="0.25">
      <c r="A379" s="190">
        <v>801010402</v>
      </c>
      <c r="B379" s="190" t="s">
        <v>419</v>
      </c>
      <c r="C379" s="190">
        <v>1595</v>
      </c>
      <c r="D379" s="190" t="s">
        <v>408</v>
      </c>
      <c r="E379" s="193">
        <v>10995.6</v>
      </c>
      <c r="F379" s="193">
        <v>10368.61</v>
      </c>
      <c r="G379" s="193">
        <v>9838.08</v>
      </c>
      <c r="H379" s="193">
        <v>9955.2099999999991</v>
      </c>
      <c r="I379" s="193">
        <v>9948.32</v>
      </c>
      <c r="J379" s="193">
        <v>9948.32</v>
      </c>
      <c r="K379" s="193">
        <v>13432.82</v>
      </c>
      <c r="L379" s="193">
        <v>9403.85</v>
      </c>
      <c r="M379" s="193">
        <v>10940.32</v>
      </c>
      <c r="N379" s="193">
        <v>10940.32</v>
      </c>
      <c r="O379" s="193">
        <v>11043.67</v>
      </c>
      <c r="P379" s="193">
        <v>10940.32</v>
      </c>
    </row>
    <row r="380" spans="1:16" x14ac:dyDescent="0.25">
      <c r="A380" s="190">
        <v>801010402</v>
      </c>
      <c r="B380" s="190" t="s">
        <v>420</v>
      </c>
      <c r="C380" s="190">
        <v>1595</v>
      </c>
      <c r="D380" s="190" t="s">
        <v>408</v>
      </c>
      <c r="E380" s="193">
        <v>14545.9</v>
      </c>
      <c r="F380" s="193">
        <v>13464.17</v>
      </c>
      <c r="G380" s="193">
        <v>12720.05</v>
      </c>
      <c r="H380" s="193">
        <v>12699.38</v>
      </c>
      <c r="I380" s="193">
        <v>12651.15</v>
      </c>
      <c r="J380" s="193">
        <v>12678.71</v>
      </c>
      <c r="K380" s="193">
        <v>17267.32</v>
      </c>
      <c r="L380" s="193">
        <v>12951.8</v>
      </c>
      <c r="M380" s="193">
        <v>14722.53</v>
      </c>
      <c r="N380" s="193">
        <v>14660.52</v>
      </c>
      <c r="O380" s="193">
        <v>14867.22</v>
      </c>
      <c r="P380" s="193">
        <v>15073.92</v>
      </c>
    </row>
    <row r="381" spans="1:16" x14ac:dyDescent="0.25">
      <c r="A381" s="190">
        <v>801010402</v>
      </c>
      <c r="B381" s="190" t="s">
        <v>421</v>
      </c>
      <c r="C381" s="190">
        <v>1595</v>
      </c>
      <c r="D381" s="190" t="s">
        <v>408</v>
      </c>
      <c r="E381" s="193">
        <v>8845.92</v>
      </c>
      <c r="F381" s="193">
        <v>8542.48</v>
      </c>
      <c r="G381" s="193">
        <v>8584.1</v>
      </c>
      <c r="H381" s="193">
        <v>8453.19</v>
      </c>
      <c r="I381" s="193">
        <v>8570.32</v>
      </c>
      <c r="J381" s="193">
        <v>8570.32</v>
      </c>
      <c r="K381" s="193">
        <v>13771.82</v>
      </c>
      <c r="L381" s="193">
        <v>9245.3799999999992</v>
      </c>
      <c r="M381" s="193">
        <v>10154.86</v>
      </c>
      <c r="N381" s="193">
        <v>10292.66</v>
      </c>
      <c r="O381" s="193">
        <v>10299.549999999999</v>
      </c>
      <c r="P381" s="193">
        <v>10292.66</v>
      </c>
    </row>
    <row r="382" spans="1:16" x14ac:dyDescent="0.25">
      <c r="A382" s="190">
        <v>801010402</v>
      </c>
      <c r="B382" s="190" t="s">
        <v>422</v>
      </c>
      <c r="C382" s="190">
        <v>1595</v>
      </c>
      <c r="D382" s="190" t="s">
        <v>408</v>
      </c>
      <c r="E382" s="193">
        <v>11905.08</v>
      </c>
      <c r="F382" s="193">
        <v>11167.85</v>
      </c>
      <c r="G382" s="193">
        <v>10968.04</v>
      </c>
      <c r="H382" s="193">
        <v>10968.04</v>
      </c>
      <c r="I382" s="193">
        <v>10857.8</v>
      </c>
      <c r="J382" s="193">
        <v>10720</v>
      </c>
      <c r="K382" s="193">
        <v>15972</v>
      </c>
      <c r="L382" s="193">
        <v>11160.9</v>
      </c>
      <c r="M382" s="193">
        <v>14164.84</v>
      </c>
      <c r="N382" s="193">
        <v>14426.66</v>
      </c>
      <c r="O382" s="193">
        <v>14674.7</v>
      </c>
      <c r="P382" s="193">
        <v>14123.7</v>
      </c>
    </row>
    <row r="383" spans="1:16" x14ac:dyDescent="0.25">
      <c r="A383" s="190">
        <v>801010402</v>
      </c>
      <c r="B383" s="190" t="s">
        <v>423</v>
      </c>
      <c r="C383" s="190">
        <v>1595</v>
      </c>
      <c r="D383" s="190" t="s">
        <v>408</v>
      </c>
      <c r="E383" s="193">
        <v>7270.48</v>
      </c>
      <c r="F383" s="193">
        <v>7082.08</v>
      </c>
      <c r="G383" s="193">
        <v>6958.06</v>
      </c>
      <c r="H383" s="193">
        <v>6958.06</v>
      </c>
      <c r="I383" s="193">
        <v>6958.06</v>
      </c>
      <c r="J383" s="193">
        <v>6958.06</v>
      </c>
      <c r="K383" s="193">
        <v>11048.56</v>
      </c>
      <c r="L383" s="193">
        <v>7426.42</v>
      </c>
      <c r="M383" s="193">
        <v>9424.52</v>
      </c>
      <c r="N383" s="193">
        <v>9548.5400000000009</v>
      </c>
      <c r="O383" s="193">
        <v>9617.44</v>
      </c>
      <c r="P383" s="193">
        <v>9796.58</v>
      </c>
    </row>
    <row r="384" spans="1:16" x14ac:dyDescent="0.25">
      <c r="A384" s="190">
        <v>801010402</v>
      </c>
      <c r="B384" s="190" t="s">
        <v>424</v>
      </c>
      <c r="C384" s="190">
        <v>1595</v>
      </c>
      <c r="D384" s="190" t="s">
        <v>408</v>
      </c>
      <c r="E384" s="193">
        <v>12575.36</v>
      </c>
      <c r="F384" s="193">
        <v>10251.280000000001</v>
      </c>
      <c r="G384" s="193">
        <v>11348.94</v>
      </c>
      <c r="H384" s="193">
        <v>11472.96</v>
      </c>
      <c r="I384" s="193">
        <v>11596.98</v>
      </c>
      <c r="J384" s="193">
        <v>11721</v>
      </c>
      <c r="K384" s="193">
        <v>17427.5</v>
      </c>
      <c r="L384" s="193">
        <v>11938.97</v>
      </c>
      <c r="M384" s="193">
        <v>16748.490000000002</v>
      </c>
      <c r="N384" s="193">
        <v>17389.16</v>
      </c>
      <c r="O384" s="193">
        <v>18140.169999999998</v>
      </c>
      <c r="P384" s="193">
        <v>18147.060000000001</v>
      </c>
    </row>
    <row r="385" spans="1:16" x14ac:dyDescent="0.25">
      <c r="A385" s="190">
        <v>801010402</v>
      </c>
      <c r="B385" s="190" t="s">
        <v>425</v>
      </c>
      <c r="C385" s="190">
        <v>1595</v>
      </c>
      <c r="D385" s="190" t="s">
        <v>408</v>
      </c>
      <c r="E385" s="193">
        <v>6439.16</v>
      </c>
      <c r="F385" s="193">
        <v>4856.83</v>
      </c>
      <c r="G385" s="193">
        <v>4831.6400000000003</v>
      </c>
      <c r="H385" s="193">
        <v>4714.51</v>
      </c>
      <c r="I385" s="193">
        <v>4597.38</v>
      </c>
      <c r="J385" s="193">
        <v>5267.86</v>
      </c>
      <c r="K385" s="193">
        <v>7237.36</v>
      </c>
      <c r="L385" s="193">
        <v>4835.9799999999996</v>
      </c>
      <c r="M385" s="193">
        <v>6289.87</v>
      </c>
      <c r="N385" s="193">
        <v>6379.34</v>
      </c>
      <c r="O385" s="193">
        <v>7151.02</v>
      </c>
      <c r="P385" s="193">
        <v>7164.8</v>
      </c>
    </row>
    <row r="386" spans="1:16" x14ac:dyDescent="0.25">
      <c r="A386" s="190">
        <v>801010402</v>
      </c>
      <c r="B386" s="190" t="s">
        <v>426</v>
      </c>
      <c r="C386" s="190">
        <v>1595</v>
      </c>
      <c r="D386" s="190" t="s">
        <v>408</v>
      </c>
      <c r="E386" s="193">
        <v>16130.7</v>
      </c>
      <c r="F386" s="193">
        <v>12858.05</v>
      </c>
      <c r="G386" s="193">
        <v>14235.85</v>
      </c>
      <c r="H386" s="193">
        <v>15296.91</v>
      </c>
      <c r="I386" s="193">
        <v>15372.7</v>
      </c>
      <c r="J386" s="193">
        <v>15400.26</v>
      </c>
      <c r="K386" s="193">
        <v>21510.76</v>
      </c>
      <c r="L386" s="193">
        <v>13392.76</v>
      </c>
      <c r="M386" s="193">
        <v>15005.02</v>
      </c>
      <c r="N386" s="193">
        <v>16286.56</v>
      </c>
      <c r="O386" s="193">
        <v>16231.54</v>
      </c>
      <c r="P386" s="193">
        <v>16038.72</v>
      </c>
    </row>
    <row r="387" spans="1:16" x14ac:dyDescent="0.25">
      <c r="A387" s="190">
        <v>801010402</v>
      </c>
      <c r="B387" s="190" t="s">
        <v>427</v>
      </c>
      <c r="C387" s="190">
        <v>1595</v>
      </c>
      <c r="D387" s="190" t="s">
        <v>408</v>
      </c>
      <c r="E387" s="193">
        <v>8864.44</v>
      </c>
      <c r="F387" s="193">
        <v>8354.58</v>
      </c>
      <c r="G387" s="193">
        <v>7844.72</v>
      </c>
      <c r="H387" s="193">
        <v>7844.72</v>
      </c>
      <c r="I387" s="193">
        <v>7865.39</v>
      </c>
      <c r="J387" s="193">
        <v>7858.5</v>
      </c>
      <c r="K387" s="193">
        <v>11393.5</v>
      </c>
      <c r="L387" s="193">
        <v>8473.9</v>
      </c>
      <c r="M387" s="193">
        <v>10168.74</v>
      </c>
      <c r="N387" s="193">
        <v>10458.02</v>
      </c>
      <c r="O387" s="193">
        <v>10526.92</v>
      </c>
      <c r="P387" s="193">
        <v>10526.92</v>
      </c>
    </row>
    <row r="388" spans="1:16" x14ac:dyDescent="0.25">
      <c r="A388" s="190">
        <v>801010402</v>
      </c>
      <c r="B388" s="190" t="s">
        <v>428</v>
      </c>
      <c r="C388" s="190">
        <v>1595</v>
      </c>
      <c r="D388" s="190" t="s">
        <v>408</v>
      </c>
      <c r="E388" s="193">
        <v>13365.76</v>
      </c>
      <c r="F388" s="193">
        <v>11980.87</v>
      </c>
      <c r="G388" s="193">
        <v>11243.64</v>
      </c>
      <c r="H388" s="193">
        <v>11243.64</v>
      </c>
      <c r="I388" s="193">
        <v>11243.64</v>
      </c>
      <c r="J388" s="193">
        <v>11409</v>
      </c>
      <c r="K388" s="193">
        <v>16252.46</v>
      </c>
      <c r="L388" s="193">
        <v>11691.43</v>
      </c>
      <c r="M388" s="193">
        <v>13358.91</v>
      </c>
      <c r="N388" s="193">
        <v>13448.48</v>
      </c>
      <c r="O388" s="193">
        <v>14123.5</v>
      </c>
      <c r="P388" s="193">
        <v>14302.64</v>
      </c>
    </row>
    <row r="389" spans="1:16" x14ac:dyDescent="0.25">
      <c r="A389" s="190">
        <v>801010402</v>
      </c>
      <c r="B389" s="190" t="s">
        <v>429</v>
      </c>
      <c r="C389" s="190">
        <v>1595</v>
      </c>
      <c r="D389" s="190" t="s">
        <v>408</v>
      </c>
      <c r="E389" s="193">
        <v>6831.89</v>
      </c>
      <c r="F389" s="193">
        <v>6351.96</v>
      </c>
      <c r="G389" s="193">
        <v>6797.44</v>
      </c>
      <c r="H389" s="193">
        <v>6825</v>
      </c>
      <c r="I389" s="193">
        <v>6852.56</v>
      </c>
      <c r="J389" s="193">
        <v>6852.56</v>
      </c>
      <c r="K389" s="193">
        <v>9428.06</v>
      </c>
      <c r="L389" s="193">
        <v>6165.75</v>
      </c>
      <c r="M389" s="193">
        <v>6145.08</v>
      </c>
      <c r="N389" s="193">
        <v>6895.89</v>
      </c>
      <c r="O389" s="193">
        <v>7081.92</v>
      </c>
      <c r="P389" s="193">
        <v>7192.16</v>
      </c>
    </row>
    <row r="390" spans="1:16" x14ac:dyDescent="0.25">
      <c r="A390" s="190">
        <v>801010402</v>
      </c>
      <c r="B390" s="190" t="s">
        <v>430</v>
      </c>
      <c r="C390" s="190">
        <v>1595</v>
      </c>
      <c r="D390" s="190" t="s">
        <v>408</v>
      </c>
      <c r="E390" s="193">
        <v>9645.16</v>
      </c>
      <c r="F390" s="193">
        <v>8894.15</v>
      </c>
      <c r="G390" s="193">
        <v>9355.7800000000007</v>
      </c>
      <c r="H390" s="193">
        <v>9355.7800000000007</v>
      </c>
      <c r="I390" s="193">
        <v>9355.7800000000007</v>
      </c>
      <c r="J390" s="193">
        <v>9355.7800000000007</v>
      </c>
      <c r="K390" s="193">
        <v>14052.28</v>
      </c>
      <c r="L390" s="193">
        <v>9321.17</v>
      </c>
      <c r="M390" s="193">
        <v>11898.03</v>
      </c>
      <c r="N390" s="193">
        <v>11863.58</v>
      </c>
      <c r="O390" s="193">
        <v>11787.79</v>
      </c>
      <c r="P390" s="193">
        <v>11587.98</v>
      </c>
    </row>
    <row r="391" spans="1:16" x14ac:dyDescent="0.25">
      <c r="A391" s="190">
        <v>801010402</v>
      </c>
      <c r="B391" s="190" t="s">
        <v>431</v>
      </c>
      <c r="C391" s="190">
        <v>1595</v>
      </c>
      <c r="D391" s="190" t="s">
        <v>408</v>
      </c>
      <c r="E391" s="193">
        <v>10279.040000000001</v>
      </c>
      <c r="F391" s="193">
        <v>9590.0400000000009</v>
      </c>
      <c r="G391" s="193">
        <v>9410.9</v>
      </c>
      <c r="H391" s="193">
        <v>9417.7900000000009</v>
      </c>
      <c r="I391" s="193">
        <v>9424.68</v>
      </c>
      <c r="J391" s="193">
        <v>9424.68</v>
      </c>
      <c r="K391" s="193">
        <v>13464.68</v>
      </c>
      <c r="L391" s="193">
        <v>9734.57</v>
      </c>
      <c r="M391" s="193">
        <v>12118.51</v>
      </c>
      <c r="N391" s="193">
        <v>12545.69</v>
      </c>
      <c r="O391" s="193">
        <v>12538.8</v>
      </c>
      <c r="P391" s="193">
        <v>12538.8</v>
      </c>
    </row>
    <row r="392" spans="1:16" x14ac:dyDescent="0.25">
      <c r="A392" s="190">
        <v>801010402</v>
      </c>
      <c r="B392" s="190" t="s">
        <v>432</v>
      </c>
      <c r="C392" s="190">
        <v>1595</v>
      </c>
      <c r="D392" s="190" t="s">
        <v>408</v>
      </c>
      <c r="E392" s="193">
        <v>13613.6</v>
      </c>
      <c r="F392" s="193">
        <v>13021.06</v>
      </c>
      <c r="G392" s="193">
        <v>13744.51</v>
      </c>
      <c r="H392" s="193">
        <v>13909.87</v>
      </c>
      <c r="I392" s="193">
        <v>14323.27</v>
      </c>
      <c r="J392" s="193">
        <v>14343.94</v>
      </c>
      <c r="K392" s="193">
        <v>18774.080000000002</v>
      </c>
      <c r="L392" s="193">
        <v>14433.35</v>
      </c>
      <c r="M392" s="193">
        <v>16011.16</v>
      </c>
      <c r="N392" s="193">
        <v>16417.669999999998</v>
      </c>
      <c r="O392" s="193">
        <v>16631.259999999998</v>
      </c>
      <c r="P392" s="193">
        <v>16631.259999999998</v>
      </c>
    </row>
    <row r="393" spans="1:16" x14ac:dyDescent="0.25">
      <c r="A393" s="190">
        <v>801010402</v>
      </c>
      <c r="B393" s="190" t="s">
        <v>433</v>
      </c>
      <c r="C393" s="190">
        <v>1595</v>
      </c>
      <c r="D393" s="190" t="s">
        <v>408</v>
      </c>
      <c r="E393" s="193">
        <v>6448.64</v>
      </c>
      <c r="F393" s="193">
        <v>6744.91</v>
      </c>
      <c r="G393" s="193">
        <v>7041.18</v>
      </c>
      <c r="H393" s="193">
        <v>7041.18</v>
      </c>
      <c r="I393" s="193">
        <v>7592.38</v>
      </c>
      <c r="J393" s="193">
        <v>7592.38</v>
      </c>
      <c r="K393" s="193">
        <v>7592.38</v>
      </c>
      <c r="L393" s="193">
        <v>7895.54</v>
      </c>
      <c r="M393" s="193">
        <v>9824.74</v>
      </c>
      <c r="N393" s="193">
        <v>9824.74</v>
      </c>
      <c r="O393" s="193">
        <v>9824.74</v>
      </c>
      <c r="P393" s="193">
        <v>9824.74</v>
      </c>
    </row>
    <row r="394" spans="1:16" x14ac:dyDescent="0.25">
      <c r="A394" s="190">
        <v>801010402</v>
      </c>
      <c r="B394" s="190" t="s">
        <v>434</v>
      </c>
      <c r="C394" s="190">
        <v>1595</v>
      </c>
      <c r="D394" s="190" t="s">
        <v>408</v>
      </c>
      <c r="E394" s="193">
        <v>5966.34</v>
      </c>
      <c r="F394" s="193">
        <v>5608.06</v>
      </c>
      <c r="G394" s="193">
        <v>5428.92</v>
      </c>
      <c r="H394" s="193">
        <v>5428.92</v>
      </c>
      <c r="I394" s="193">
        <v>5428.92</v>
      </c>
      <c r="J394" s="193">
        <v>5428.92</v>
      </c>
      <c r="K394" s="193">
        <v>5428.92</v>
      </c>
      <c r="L394" s="193">
        <v>6069.69</v>
      </c>
      <c r="M394" s="193">
        <v>7916.21</v>
      </c>
      <c r="N394" s="193">
        <v>7916.21</v>
      </c>
      <c r="O394" s="193">
        <v>7840.42</v>
      </c>
      <c r="P394" s="193">
        <v>7840.42</v>
      </c>
    </row>
    <row r="395" spans="1:16" x14ac:dyDescent="0.25">
      <c r="A395" s="190">
        <v>801010402</v>
      </c>
      <c r="B395" s="190" t="s">
        <v>435</v>
      </c>
      <c r="C395" s="190">
        <v>1595</v>
      </c>
      <c r="D395" s="190" t="s">
        <v>408</v>
      </c>
      <c r="E395" s="191">
        <v>0</v>
      </c>
      <c r="F395" s="193">
        <v>3361.92</v>
      </c>
      <c r="G395" s="193">
        <v>1818.76</v>
      </c>
      <c r="H395" s="193">
        <v>1818.76</v>
      </c>
      <c r="I395" s="193">
        <v>1915.22</v>
      </c>
      <c r="J395" s="193">
        <v>2562.6799999999998</v>
      </c>
      <c r="K395" s="193">
        <v>2562.6799999999998</v>
      </c>
      <c r="L395" s="193">
        <v>2672.92</v>
      </c>
      <c r="M395" s="193">
        <v>3616.85</v>
      </c>
      <c r="N395" s="193">
        <v>3665.08</v>
      </c>
      <c r="O395" s="193">
        <v>3692.64</v>
      </c>
      <c r="P395" s="193">
        <v>3692.64</v>
      </c>
    </row>
    <row r="396" spans="1:16" x14ac:dyDescent="0.25">
      <c r="A396" s="190">
        <v>801010402</v>
      </c>
      <c r="B396" s="190" t="s">
        <v>436</v>
      </c>
      <c r="C396" s="190">
        <v>1595</v>
      </c>
      <c r="D396" s="190" t="s">
        <v>408</v>
      </c>
      <c r="E396" s="193">
        <v>5387.58</v>
      </c>
      <c r="F396" s="193">
        <v>5242.89</v>
      </c>
      <c r="G396" s="193">
        <v>5222.32</v>
      </c>
      <c r="H396" s="193">
        <v>5497.82</v>
      </c>
      <c r="I396" s="193">
        <v>5497.82</v>
      </c>
      <c r="J396" s="193">
        <v>5497.82</v>
      </c>
      <c r="K396" s="193">
        <v>5497.82</v>
      </c>
      <c r="L396" s="193">
        <v>5945.67</v>
      </c>
      <c r="M396" s="193">
        <v>6558.88</v>
      </c>
      <c r="N396" s="193">
        <v>6558.88</v>
      </c>
      <c r="O396" s="193">
        <v>6269.5</v>
      </c>
      <c r="P396" s="193">
        <v>6269.5</v>
      </c>
    </row>
    <row r="397" spans="1:16" x14ac:dyDescent="0.25">
      <c r="A397" s="190">
        <v>801010402</v>
      </c>
      <c r="B397" s="190" t="s">
        <v>437</v>
      </c>
      <c r="C397" s="190">
        <v>1595</v>
      </c>
      <c r="D397" s="190" t="s">
        <v>408</v>
      </c>
      <c r="E397" s="191">
        <v>0</v>
      </c>
      <c r="F397" s="193">
        <v>10129.629999999999</v>
      </c>
      <c r="G397" s="193">
        <v>22734.2</v>
      </c>
      <c r="H397" s="193">
        <v>12554</v>
      </c>
      <c r="I397" s="193">
        <v>11778</v>
      </c>
      <c r="J397" s="193">
        <v>11654</v>
      </c>
      <c r="K397" s="193">
        <v>42685.5</v>
      </c>
      <c r="L397" s="193">
        <v>14326</v>
      </c>
      <c r="M397" s="193">
        <v>14877</v>
      </c>
      <c r="N397" s="193">
        <v>14601.5</v>
      </c>
      <c r="O397" s="193">
        <v>14877</v>
      </c>
      <c r="P397" s="193">
        <v>14877</v>
      </c>
    </row>
    <row r="398" spans="1:16" x14ac:dyDescent="0.25">
      <c r="A398" s="190">
        <v>801010402</v>
      </c>
      <c r="B398" s="190" t="s">
        <v>407</v>
      </c>
      <c r="C398" s="190">
        <v>1711</v>
      </c>
      <c r="D398" s="190" t="s">
        <v>408</v>
      </c>
      <c r="E398" s="191">
        <v>0</v>
      </c>
      <c r="F398" s="191">
        <v>0</v>
      </c>
      <c r="G398" s="191">
        <v>0</v>
      </c>
      <c r="H398" s="191">
        <v>0</v>
      </c>
      <c r="I398" s="191">
        <v>0</v>
      </c>
      <c r="J398" s="191">
        <v>0</v>
      </c>
      <c r="K398" s="191">
        <v>0</v>
      </c>
      <c r="L398" s="191">
        <v>0</v>
      </c>
      <c r="M398" s="191">
        <v>0</v>
      </c>
      <c r="N398" s="191">
        <v>0</v>
      </c>
      <c r="O398" s="191">
        <v>0</v>
      </c>
      <c r="P398" s="193">
        <v>4726.3999999999996</v>
      </c>
    </row>
    <row r="399" spans="1:16" x14ac:dyDescent="0.25">
      <c r="A399" s="190">
        <v>801010402</v>
      </c>
      <c r="B399" s="190" t="s">
        <v>407</v>
      </c>
      <c r="C399" s="190">
        <v>2111</v>
      </c>
      <c r="D399" s="190" t="s">
        <v>408</v>
      </c>
      <c r="E399" s="191">
        <v>0</v>
      </c>
      <c r="F399" s="193">
        <v>50066.39</v>
      </c>
      <c r="G399" s="193">
        <v>6380.91</v>
      </c>
      <c r="H399" s="193">
        <v>25050.25</v>
      </c>
      <c r="I399" s="191">
        <v>0</v>
      </c>
      <c r="J399" s="193">
        <v>30855.21</v>
      </c>
      <c r="K399" s="191">
        <v>0</v>
      </c>
      <c r="L399" s="193">
        <v>43731.83</v>
      </c>
      <c r="M399" s="191">
        <v>0</v>
      </c>
      <c r="N399" s="191">
        <v>0</v>
      </c>
      <c r="O399" s="191">
        <v>0</v>
      </c>
      <c r="P399" s="193">
        <v>81220.14</v>
      </c>
    </row>
    <row r="400" spans="1:16" x14ac:dyDescent="0.25">
      <c r="A400" s="190">
        <v>801010402</v>
      </c>
      <c r="B400" s="190" t="s">
        <v>410</v>
      </c>
      <c r="C400" s="190">
        <v>2111</v>
      </c>
      <c r="D400" s="190" t="s">
        <v>408</v>
      </c>
      <c r="E400" s="191">
        <v>0</v>
      </c>
      <c r="F400" s="193">
        <v>7907.58</v>
      </c>
      <c r="G400" s="191">
        <v>188.34</v>
      </c>
      <c r="H400" s="191">
        <v>0</v>
      </c>
      <c r="I400" s="191">
        <v>0</v>
      </c>
      <c r="J400" s="193">
        <v>10285.07</v>
      </c>
      <c r="K400" s="191">
        <v>0</v>
      </c>
      <c r="L400" s="191">
        <v>0</v>
      </c>
      <c r="M400" s="191">
        <v>0</v>
      </c>
      <c r="N400" s="191">
        <v>0</v>
      </c>
      <c r="O400" s="191">
        <v>0</v>
      </c>
      <c r="P400" s="193">
        <v>6289.59</v>
      </c>
    </row>
    <row r="401" spans="1:16" x14ac:dyDescent="0.25">
      <c r="A401" s="190">
        <v>801010402</v>
      </c>
      <c r="B401" s="190" t="s">
        <v>411</v>
      </c>
      <c r="C401" s="190">
        <v>2111</v>
      </c>
      <c r="D401" s="190" t="s">
        <v>408</v>
      </c>
      <c r="E401" s="191">
        <v>0</v>
      </c>
      <c r="F401" s="193">
        <v>7907.58</v>
      </c>
      <c r="G401" s="191">
        <v>188.34</v>
      </c>
      <c r="H401" s="191">
        <v>0</v>
      </c>
      <c r="I401" s="191">
        <v>0</v>
      </c>
      <c r="J401" s="193">
        <v>10285.07</v>
      </c>
      <c r="K401" s="191">
        <v>0</v>
      </c>
      <c r="L401" s="191">
        <v>0</v>
      </c>
      <c r="M401" s="191">
        <v>0</v>
      </c>
      <c r="N401" s="191">
        <v>0</v>
      </c>
      <c r="O401" s="191">
        <v>0</v>
      </c>
      <c r="P401" s="193">
        <v>6289.59</v>
      </c>
    </row>
    <row r="402" spans="1:16" x14ac:dyDescent="0.25">
      <c r="A402" s="190">
        <v>801010402</v>
      </c>
      <c r="B402" s="190" t="s">
        <v>412</v>
      </c>
      <c r="C402" s="190">
        <v>2111</v>
      </c>
      <c r="D402" s="190" t="s">
        <v>408</v>
      </c>
      <c r="E402" s="191">
        <v>0</v>
      </c>
      <c r="F402" s="193">
        <v>7907.58</v>
      </c>
      <c r="G402" s="191">
        <v>188.34</v>
      </c>
      <c r="H402" s="191">
        <v>0</v>
      </c>
      <c r="I402" s="191">
        <v>0</v>
      </c>
      <c r="J402" s="193">
        <v>10285.07</v>
      </c>
      <c r="K402" s="191">
        <v>0</v>
      </c>
      <c r="L402" s="191">
        <v>0</v>
      </c>
      <c r="M402" s="191">
        <v>0</v>
      </c>
      <c r="N402" s="191">
        <v>0</v>
      </c>
      <c r="O402" s="191">
        <v>0</v>
      </c>
      <c r="P402" s="193">
        <v>6289.59</v>
      </c>
    </row>
    <row r="403" spans="1:16" x14ac:dyDescent="0.25">
      <c r="A403" s="190">
        <v>801010402</v>
      </c>
      <c r="B403" s="190" t="s">
        <v>413</v>
      </c>
      <c r="C403" s="190">
        <v>2111</v>
      </c>
      <c r="D403" s="190" t="s">
        <v>408</v>
      </c>
      <c r="E403" s="191">
        <v>0</v>
      </c>
      <c r="F403" s="193">
        <v>7907.58</v>
      </c>
      <c r="G403" s="191">
        <v>188.34</v>
      </c>
      <c r="H403" s="191">
        <v>0</v>
      </c>
      <c r="I403" s="191">
        <v>0</v>
      </c>
      <c r="J403" s="193">
        <v>10285.07</v>
      </c>
      <c r="K403" s="191">
        <v>0</v>
      </c>
      <c r="L403" s="191">
        <v>0</v>
      </c>
      <c r="M403" s="191">
        <v>0</v>
      </c>
      <c r="N403" s="191">
        <v>0</v>
      </c>
      <c r="O403" s="191">
        <v>0</v>
      </c>
      <c r="P403" s="193">
        <v>6289.59</v>
      </c>
    </row>
    <row r="404" spans="1:16" x14ac:dyDescent="0.25">
      <c r="A404" s="190">
        <v>801010402</v>
      </c>
      <c r="B404" s="190" t="s">
        <v>414</v>
      </c>
      <c r="C404" s="190">
        <v>2111</v>
      </c>
      <c r="D404" s="190" t="s">
        <v>408</v>
      </c>
      <c r="E404" s="191">
        <v>0</v>
      </c>
      <c r="F404" s="193">
        <v>7907.58</v>
      </c>
      <c r="G404" s="191">
        <v>188.34</v>
      </c>
      <c r="H404" s="191">
        <v>0</v>
      </c>
      <c r="I404" s="191">
        <v>0</v>
      </c>
      <c r="J404" s="193">
        <v>10285.07</v>
      </c>
      <c r="K404" s="191">
        <v>0</v>
      </c>
      <c r="L404" s="191">
        <v>0</v>
      </c>
      <c r="M404" s="191">
        <v>0</v>
      </c>
      <c r="N404" s="191">
        <v>0</v>
      </c>
      <c r="O404" s="191">
        <v>0</v>
      </c>
      <c r="P404" s="193">
        <v>6289.59</v>
      </c>
    </row>
    <row r="405" spans="1:16" x14ac:dyDescent="0.25">
      <c r="A405" s="190">
        <v>801010402</v>
      </c>
      <c r="B405" s="190" t="s">
        <v>415</v>
      </c>
      <c r="C405" s="190">
        <v>2111</v>
      </c>
      <c r="D405" s="190" t="s">
        <v>408</v>
      </c>
      <c r="E405" s="191">
        <v>0</v>
      </c>
      <c r="F405" s="193">
        <v>7907.58</v>
      </c>
      <c r="G405" s="191">
        <v>188.34</v>
      </c>
      <c r="H405" s="191">
        <v>0</v>
      </c>
      <c r="I405" s="191">
        <v>0</v>
      </c>
      <c r="J405" s="193">
        <v>10285.07</v>
      </c>
      <c r="K405" s="191">
        <v>0</v>
      </c>
      <c r="L405" s="191">
        <v>0</v>
      </c>
      <c r="M405" s="191">
        <v>0</v>
      </c>
      <c r="N405" s="191">
        <v>0</v>
      </c>
      <c r="O405" s="191">
        <v>0</v>
      </c>
      <c r="P405" s="193">
        <v>6289.59</v>
      </c>
    </row>
    <row r="406" spans="1:16" x14ac:dyDescent="0.25">
      <c r="A406" s="190">
        <v>801010402</v>
      </c>
      <c r="B406" s="190" t="s">
        <v>416</v>
      </c>
      <c r="C406" s="190">
        <v>2111</v>
      </c>
      <c r="D406" s="190" t="s">
        <v>408</v>
      </c>
      <c r="E406" s="191">
        <v>0</v>
      </c>
      <c r="F406" s="193">
        <v>7907.58</v>
      </c>
      <c r="G406" s="191">
        <v>188.34</v>
      </c>
      <c r="H406" s="191">
        <v>0</v>
      </c>
      <c r="I406" s="191">
        <v>0</v>
      </c>
      <c r="J406" s="193">
        <v>10285.07</v>
      </c>
      <c r="K406" s="191">
        <v>0</v>
      </c>
      <c r="L406" s="191">
        <v>0</v>
      </c>
      <c r="M406" s="191">
        <v>0</v>
      </c>
      <c r="N406" s="191">
        <v>0</v>
      </c>
      <c r="O406" s="191">
        <v>0</v>
      </c>
      <c r="P406" s="193">
        <v>6289.59</v>
      </c>
    </row>
    <row r="407" spans="1:16" x14ac:dyDescent="0.25">
      <c r="A407" s="190">
        <v>801010402</v>
      </c>
      <c r="B407" s="190" t="s">
        <v>417</v>
      </c>
      <c r="C407" s="190">
        <v>2111</v>
      </c>
      <c r="D407" s="190" t="s">
        <v>408</v>
      </c>
      <c r="E407" s="191">
        <v>0</v>
      </c>
      <c r="F407" s="193">
        <v>7907.58</v>
      </c>
      <c r="G407" s="191">
        <v>188.34</v>
      </c>
      <c r="H407" s="191">
        <v>0</v>
      </c>
      <c r="I407" s="191">
        <v>0</v>
      </c>
      <c r="J407" s="193">
        <v>10285.07</v>
      </c>
      <c r="K407" s="191">
        <v>0</v>
      </c>
      <c r="L407" s="191">
        <v>0</v>
      </c>
      <c r="M407" s="191">
        <v>0</v>
      </c>
      <c r="N407" s="191">
        <v>0</v>
      </c>
      <c r="O407" s="191">
        <v>0</v>
      </c>
      <c r="P407" s="193">
        <v>6289.59</v>
      </c>
    </row>
    <row r="408" spans="1:16" x14ac:dyDescent="0.25">
      <c r="A408" s="190">
        <v>801010402</v>
      </c>
      <c r="B408" s="190" t="s">
        <v>419</v>
      </c>
      <c r="C408" s="190">
        <v>2111</v>
      </c>
      <c r="D408" s="190" t="s">
        <v>408</v>
      </c>
      <c r="E408" s="191">
        <v>0</v>
      </c>
      <c r="F408" s="193">
        <v>7907.58</v>
      </c>
      <c r="G408" s="191">
        <v>188.34</v>
      </c>
      <c r="H408" s="191">
        <v>0</v>
      </c>
      <c r="I408" s="191">
        <v>0</v>
      </c>
      <c r="J408" s="193">
        <v>10285.07</v>
      </c>
      <c r="K408" s="191">
        <v>0</v>
      </c>
      <c r="L408" s="191">
        <v>0</v>
      </c>
      <c r="M408" s="191">
        <v>0</v>
      </c>
      <c r="N408" s="191">
        <v>0</v>
      </c>
      <c r="O408" s="191">
        <v>0</v>
      </c>
      <c r="P408" s="193">
        <v>6289.59</v>
      </c>
    </row>
    <row r="409" spans="1:16" x14ac:dyDescent="0.25">
      <c r="A409" s="190">
        <v>801010402</v>
      </c>
      <c r="B409" s="190" t="s">
        <v>420</v>
      </c>
      <c r="C409" s="190">
        <v>2111</v>
      </c>
      <c r="D409" s="190" t="s">
        <v>408</v>
      </c>
      <c r="E409" s="191">
        <v>0</v>
      </c>
      <c r="F409" s="193">
        <v>7907.58</v>
      </c>
      <c r="G409" s="191">
        <v>188.34</v>
      </c>
      <c r="H409" s="191">
        <v>0</v>
      </c>
      <c r="I409" s="191">
        <v>0</v>
      </c>
      <c r="J409" s="193">
        <v>10285.07</v>
      </c>
      <c r="K409" s="191">
        <v>0</v>
      </c>
      <c r="L409" s="191">
        <v>0</v>
      </c>
      <c r="M409" s="191">
        <v>0</v>
      </c>
      <c r="N409" s="191">
        <v>0</v>
      </c>
      <c r="O409" s="191">
        <v>0</v>
      </c>
      <c r="P409" s="193">
        <v>6289.59</v>
      </c>
    </row>
    <row r="410" spans="1:16" x14ac:dyDescent="0.25">
      <c r="A410" s="190">
        <v>801010402</v>
      </c>
      <c r="B410" s="190" t="s">
        <v>421</v>
      </c>
      <c r="C410" s="190">
        <v>2111</v>
      </c>
      <c r="D410" s="190" t="s">
        <v>408</v>
      </c>
      <c r="E410" s="191">
        <v>0</v>
      </c>
      <c r="F410" s="193">
        <v>7907.58</v>
      </c>
      <c r="G410" s="191">
        <v>188.34</v>
      </c>
      <c r="H410" s="191">
        <v>0</v>
      </c>
      <c r="I410" s="191">
        <v>0</v>
      </c>
      <c r="J410" s="193">
        <v>10285.07</v>
      </c>
      <c r="K410" s="191">
        <v>0</v>
      </c>
      <c r="L410" s="191">
        <v>0</v>
      </c>
      <c r="M410" s="191">
        <v>0</v>
      </c>
      <c r="N410" s="191">
        <v>0</v>
      </c>
      <c r="O410" s="191">
        <v>0</v>
      </c>
      <c r="P410" s="193">
        <v>6289.59</v>
      </c>
    </row>
    <row r="411" spans="1:16" x14ac:dyDescent="0.25">
      <c r="A411" s="190">
        <v>801010402</v>
      </c>
      <c r="B411" s="190" t="s">
        <v>422</v>
      </c>
      <c r="C411" s="190">
        <v>2111</v>
      </c>
      <c r="D411" s="190" t="s">
        <v>408</v>
      </c>
      <c r="E411" s="191">
        <v>0</v>
      </c>
      <c r="F411" s="193">
        <v>7907.58</v>
      </c>
      <c r="G411" s="191">
        <v>188.34</v>
      </c>
      <c r="H411" s="191">
        <v>0</v>
      </c>
      <c r="I411" s="191">
        <v>0</v>
      </c>
      <c r="J411" s="193">
        <v>10285.07</v>
      </c>
      <c r="K411" s="191">
        <v>0</v>
      </c>
      <c r="L411" s="191">
        <v>0</v>
      </c>
      <c r="M411" s="191">
        <v>0</v>
      </c>
      <c r="N411" s="191">
        <v>0</v>
      </c>
      <c r="O411" s="191">
        <v>0</v>
      </c>
      <c r="P411" s="193">
        <v>6289.59</v>
      </c>
    </row>
    <row r="412" spans="1:16" x14ac:dyDescent="0.25">
      <c r="A412" s="190">
        <v>801010402</v>
      </c>
      <c r="B412" s="190" t="s">
        <v>423</v>
      </c>
      <c r="C412" s="190">
        <v>2111</v>
      </c>
      <c r="D412" s="190" t="s">
        <v>408</v>
      </c>
      <c r="E412" s="191">
        <v>0</v>
      </c>
      <c r="F412" s="193">
        <v>7907.58</v>
      </c>
      <c r="G412" s="191">
        <v>188.34</v>
      </c>
      <c r="H412" s="191">
        <v>0</v>
      </c>
      <c r="I412" s="191">
        <v>0</v>
      </c>
      <c r="J412" s="193">
        <v>10285.07</v>
      </c>
      <c r="K412" s="191">
        <v>0</v>
      </c>
      <c r="L412" s="191">
        <v>0</v>
      </c>
      <c r="M412" s="191">
        <v>0</v>
      </c>
      <c r="N412" s="191">
        <v>0</v>
      </c>
      <c r="O412" s="191">
        <v>0</v>
      </c>
      <c r="P412" s="193">
        <v>6289.59</v>
      </c>
    </row>
    <row r="413" spans="1:16" x14ac:dyDescent="0.25">
      <c r="A413" s="190">
        <v>801010402</v>
      </c>
      <c r="B413" s="190" t="s">
        <v>424</v>
      </c>
      <c r="C413" s="190">
        <v>2111</v>
      </c>
      <c r="D413" s="190" t="s">
        <v>408</v>
      </c>
      <c r="E413" s="191">
        <v>0</v>
      </c>
      <c r="F413" s="193">
        <v>7907.58</v>
      </c>
      <c r="G413" s="191">
        <v>188.34</v>
      </c>
      <c r="H413" s="191">
        <v>0</v>
      </c>
      <c r="I413" s="191">
        <v>0</v>
      </c>
      <c r="J413" s="193">
        <v>10285.07</v>
      </c>
      <c r="K413" s="191">
        <v>0</v>
      </c>
      <c r="L413" s="191">
        <v>0</v>
      </c>
      <c r="M413" s="191">
        <v>0</v>
      </c>
      <c r="N413" s="191">
        <v>0</v>
      </c>
      <c r="O413" s="191">
        <v>0</v>
      </c>
      <c r="P413" s="193">
        <v>6289.59</v>
      </c>
    </row>
    <row r="414" spans="1:16" x14ac:dyDescent="0.25">
      <c r="A414" s="190">
        <v>801010402</v>
      </c>
      <c r="B414" s="190" t="s">
        <v>425</v>
      </c>
      <c r="C414" s="190">
        <v>2111</v>
      </c>
      <c r="D414" s="190" t="s">
        <v>408</v>
      </c>
      <c r="E414" s="191">
        <v>0</v>
      </c>
      <c r="F414" s="193">
        <v>7907.58</v>
      </c>
      <c r="G414" s="191">
        <v>188.34</v>
      </c>
      <c r="H414" s="191">
        <v>0</v>
      </c>
      <c r="I414" s="191">
        <v>0</v>
      </c>
      <c r="J414" s="193">
        <v>10285.07</v>
      </c>
      <c r="K414" s="191">
        <v>0</v>
      </c>
      <c r="L414" s="191">
        <v>0</v>
      </c>
      <c r="M414" s="191">
        <v>0</v>
      </c>
      <c r="N414" s="191">
        <v>0</v>
      </c>
      <c r="O414" s="191">
        <v>0</v>
      </c>
      <c r="P414" s="193">
        <v>6289.59</v>
      </c>
    </row>
    <row r="415" spans="1:16" x14ac:dyDescent="0.25">
      <c r="A415" s="190">
        <v>801010402</v>
      </c>
      <c r="B415" s="190" t="s">
        <v>426</v>
      </c>
      <c r="C415" s="190">
        <v>2111</v>
      </c>
      <c r="D415" s="190" t="s">
        <v>408</v>
      </c>
      <c r="E415" s="191">
        <v>0</v>
      </c>
      <c r="F415" s="193">
        <v>7907.58</v>
      </c>
      <c r="G415" s="191">
        <v>188.34</v>
      </c>
      <c r="H415" s="191">
        <v>0</v>
      </c>
      <c r="I415" s="191">
        <v>0</v>
      </c>
      <c r="J415" s="193">
        <v>10285.07</v>
      </c>
      <c r="K415" s="191">
        <v>0</v>
      </c>
      <c r="L415" s="191">
        <v>0</v>
      </c>
      <c r="M415" s="191">
        <v>0</v>
      </c>
      <c r="N415" s="191">
        <v>0</v>
      </c>
      <c r="O415" s="191">
        <v>0</v>
      </c>
      <c r="P415" s="193">
        <v>6289.59</v>
      </c>
    </row>
    <row r="416" spans="1:16" x14ac:dyDescent="0.25">
      <c r="A416" s="190">
        <v>801010402</v>
      </c>
      <c r="B416" s="190" t="s">
        <v>427</v>
      </c>
      <c r="C416" s="190">
        <v>2111</v>
      </c>
      <c r="D416" s="190" t="s">
        <v>408</v>
      </c>
      <c r="E416" s="191">
        <v>0</v>
      </c>
      <c r="F416" s="193">
        <v>7918.42</v>
      </c>
      <c r="G416" s="191">
        <v>188.34</v>
      </c>
      <c r="H416" s="191">
        <v>0</v>
      </c>
      <c r="I416" s="191">
        <v>0</v>
      </c>
      <c r="J416" s="193">
        <v>10285.07</v>
      </c>
      <c r="K416" s="191">
        <v>0</v>
      </c>
      <c r="L416" s="191">
        <v>0</v>
      </c>
      <c r="M416" s="191">
        <v>0</v>
      </c>
      <c r="N416" s="191">
        <v>0</v>
      </c>
      <c r="O416" s="191">
        <v>0</v>
      </c>
      <c r="P416" s="193">
        <v>6289.59</v>
      </c>
    </row>
    <row r="417" spans="1:16" x14ac:dyDescent="0.25">
      <c r="A417" s="190">
        <v>801010402</v>
      </c>
      <c r="B417" s="190" t="s">
        <v>428</v>
      </c>
      <c r="C417" s="190">
        <v>2111</v>
      </c>
      <c r="D417" s="190" t="s">
        <v>408</v>
      </c>
      <c r="E417" s="191">
        <v>0</v>
      </c>
      <c r="F417" s="193">
        <v>7907.58</v>
      </c>
      <c r="G417" s="191">
        <v>188.34</v>
      </c>
      <c r="H417" s="191">
        <v>0</v>
      </c>
      <c r="I417" s="191">
        <v>0</v>
      </c>
      <c r="J417" s="193">
        <v>10285.07</v>
      </c>
      <c r="K417" s="191">
        <v>0</v>
      </c>
      <c r="L417" s="191">
        <v>0</v>
      </c>
      <c r="M417" s="191">
        <v>0</v>
      </c>
      <c r="N417" s="191">
        <v>0</v>
      </c>
      <c r="O417" s="191">
        <v>0</v>
      </c>
      <c r="P417" s="193">
        <v>6289.59</v>
      </c>
    </row>
    <row r="418" spans="1:16" x14ac:dyDescent="0.25">
      <c r="A418" s="190">
        <v>801010402</v>
      </c>
      <c r="B418" s="190" t="s">
        <v>429</v>
      </c>
      <c r="C418" s="190">
        <v>2111</v>
      </c>
      <c r="D418" s="190" t="s">
        <v>408</v>
      </c>
      <c r="E418" s="191">
        <v>0</v>
      </c>
      <c r="F418" s="193">
        <v>7907.58</v>
      </c>
      <c r="G418" s="191">
        <v>188.34</v>
      </c>
      <c r="H418" s="191">
        <v>0</v>
      </c>
      <c r="I418" s="191">
        <v>0</v>
      </c>
      <c r="J418" s="193">
        <v>10285.07</v>
      </c>
      <c r="K418" s="191">
        <v>0</v>
      </c>
      <c r="L418" s="191">
        <v>0</v>
      </c>
      <c r="M418" s="191">
        <v>0</v>
      </c>
      <c r="N418" s="191">
        <v>0</v>
      </c>
      <c r="O418" s="191">
        <v>0</v>
      </c>
      <c r="P418" s="193">
        <v>6289.59</v>
      </c>
    </row>
    <row r="419" spans="1:16" x14ac:dyDescent="0.25">
      <c r="A419" s="190">
        <v>801010402</v>
      </c>
      <c r="B419" s="190" t="s">
        <v>430</v>
      </c>
      <c r="C419" s="190">
        <v>2111</v>
      </c>
      <c r="D419" s="190" t="s">
        <v>408</v>
      </c>
      <c r="E419" s="191">
        <v>0</v>
      </c>
      <c r="F419" s="193">
        <v>7907.58</v>
      </c>
      <c r="G419" s="191">
        <v>188.34</v>
      </c>
      <c r="H419" s="191">
        <v>0</v>
      </c>
      <c r="I419" s="191">
        <v>0</v>
      </c>
      <c r="J419" s="193">
        <v>10285.07</v>
      </c>
      <c r="K419" s="191">
        <v>0</v>
      </c>
      <c r="L419" s="191">
        <v>0</v>
      </c>
      <c r="M419" s="191">
        <v>0</v>
      </c>
      <c r="N419" s="191">
        <v>0</v>
      </c>
      <c r="O419" s="191">
        <v>0</v>
      </c>
      <c r="P419" s="193">
        <v>8969.19</v>
      </c>
    </row>
    <row r="420" spans="1:16" x14ac:dyDescent="0.25">
      <c r="A420" s="190">
        <v>801010402</v>
      </c>
      <c r="B420" s="190" t="s">
        <v>431</v>
      </c>
      <c r="C420" s="190">
        <v>2111</v>
      </c>
      <c r="D420" s="190" t="s">
        <v>408</v>
      </c>
      <c r="E420" s="191">
        <v>0</v>
      </c>
      <c r="F420" s="193">
        <v>7907.58</v>
      </c>
      <c r="G420" s="191">
        <v>188.34</v>
      </c>
      <c r="H420" s="191">
        <v>0</v>
      </c>
      <c r="I420" s="191">
        <v>0</v>
      </c>
      <c r="J420" s="193">
        <v>10285.07</v>
      </c>
      <c r="K420" s="191">
        <v>0</v>
      </c>
      <c r="L420" s="191">
        <v>0</v>
      </c>
      <c r="M420" s="191">
        <v>0</v>
      </c>
      <c r="N420" s="191">
        <v>0</v>
      </c>
      <c r="O420" s="191">
        <v>0</v>
      </c>
      <c r="P420" s="193">
        <v>6289.59</v>
      </c>
    </row>
    <row r="421" spans="1:16" x14ac:dyDescent="0.25">
      <c r="A421" s="190">
        <v>801010402</v>
      </c>
      <c r="B421" s="190" t="s">
        <v>432</v>
      </c>
      <c r="C421" s="190">
        <v>2111</v>
      </c>
      <c r="D421" s="190" t="s">
        <v>408</v>
      </c>
      <c r="E421" s="191">
        <v>0</v>
      </c>
      <c r="F421" s="193">
        <v>7907.58</v>
      </c>
      <c r="G421" s="191">
        <v>188.34</v>
      </c>
      <c r="H421" s="191">
        <v>0</v>
      </c>
      <c r="I421" s="191">
        <v>0</v>
      </c>
      <c r="J421" s="193">
        <v>10285.07</v>
      </c>
      <c r="K421" s="191">
        <v>0</v>
      </c>
      <c r="L421" s="191">
        <v>0</v>
      </c>
      <c r="M421" s="191">
        <v>0</v>
      </c>
      <c r="N421" s="191">
        <v>0</v>
      </c>
      <c r="O421" s="191">
        <v>0</v>
      </c>
      <c r="P421" s="193">
        <v>6289.59</v>
      </c>
    </row>
    <row r="422" spans="1:16" x14ac:dyDescent="0.25">
      <c r="A422" s="190">
        <v>801010402</v>
      </c>
      <c r="B422" s="190" t="s">
        <v>433</v>
      </c>
      <c r="C422" s="190">
        <v>2111</v>
      </c>
      <c r="D422" s="190" t="s">
        <v>408</v>
      </c>
      <c r="E422" s="191">
        <v>0</v>
      </c>
      <c r="F422" s="191">
        <v>0</v>
      </c>
      <c r="G422" s="191">
        <v>188.34</v>
      </c>
      <c r="H422" s="191">
        <v>0</v>
      </c>
      <c r="I422" s="191">
        <v>0</v>
      </c>
      <c r="J422" s="193">
        <v>10285.07</v>
      </c>
      <c r="K422" s="191">
        <v>0</v>
      </c>
      <c r="L422" s="191">
        <v>0</v>
      </c>
      <c r="M422" s="191">
        <v>0</v>
      </c>
      <c r="N422" s="191">
        <v>0</v>
      </c>
      <c r="O422" s="191">
        <v>0</v>
      </c>
      <c r="P422" s="193">
        <v>6289.59</v>
      </c>
    </row>
    <row r="423" spans="1:16" x14ac:dyDescent="0.25">
      <c r="A423" s="190">
        <v>801010402</v>
      </c>
      <c r="B423" s="190" t="s">
        <v>434</v>
      </c>
      <c r="C423" s="190">
        <v>2111</v>
      </c>
      <c r="D423" s="190" t="s">
        <v>408</v>
      </c>
      <c r="E423" s="191">
        <v>0</v>
      </c>
      <c r="F423" s="191">
        <v>0</v>
      </c>
      <c r="G423" s="191">
        <v>188.36</v>
      </c>
      <c r="H423" s="191">
        <v>0</v>
      </c>
      <c r="I423" s="191">
        <v>0</v>
      </c>
      <c r="J423" s="193">
        <v>10285.07</v>
      </c>
      <c r="K423" s="191">
        <v>0</v>
      </c>
      <c r="L423" s="191">
        <v>0</v>
      </c>
      <c r="M423" s="191">
        <v>0</v>
      </c>
      <c r="N423" s="191">
        <v>0</v>
      </c>
      <c r="O423" s="191">
        <v>0</v>
      </c>
      <c r="P423" s="193">
        <v>6289.59</v>
      </c>
    </row>
    <row r="424" spans="1:16" x14ac:dyDescent="0.25">
      <c r="A424" s="190">
        <v>801010402</v>
      </c>
      <c r="B424" s="190" t="s">
        <v>435</v>
      </c>
      <c r="C424" s="190">
        <v>2111</v>
      </c>
      <c r="D424" s="190" t="s">
        <v>408</v>
      </c>
      <c r="E424" s="191">
        <v>0</v>
      </c>
      <c r="F424" s="191">
        <v>0</v>
      </c>
      <c r="G424" s="191">
        <v>188.36</v>
      </c>
      <c r="H424" s="191">
        <v>0</v>
      </c>
      <c r="I424" s="191">
        <v>0</v>
      </c>
      <c r="J424" s="193">
        <v>10285.07</v>
      </c>
      <c r="K424" s="191">
        <v>0</v>
      </c>
      <c r="L424" s="191">
        <v>0</v>
      </c>
      <c r="M424" s="191">
        <v>0</v>
      </c>
      <c r="N424" s="191">
        <v>0</v>
      </c>
      <c r="O424" s="191">
        <v>0</v>
      </c>
      <c r="P424" s="193">
        <v>6289.59</v>
      </c>
    </row>
    <row r="425" spans="1:16" x14ac:dyDescent="0.25">
      <c r="A425" s="190">
        <v>801010402</v>
      </c>
      <c r="B425" s="190" t="s">
        <v>436</v>
      </c>
      <c r="C425" s="190">
        <v>2111</v>
      </c>
      <c r="D425" s="190" t="s">
        <v>408</v>
      </c>
      <c r="E425" s="191">
        <v>0</v>
      </c>
      <c r="F425" s="191">
        <v>0</v>
      </c>
      <c r="G425" s="191">
        <v>188.36</v>
      </c>
      <c r="H425" s="191">
        <v>0</v>
      </c>
      <c r="I425" s="191">
        <v>0</v>
      </c>
      <c r="J425" s="193">
        <v>10285.07</v>
      </c>
      <c r="K425" s="191">
        <v>0</v>
      </c>
      <c r="L425" s="191">
        <v>0</v>
      </c>
      <c r="M425" s="191">
        <v>0</v>
      </c>
      <c r="N425" s="191">
        <v>0</v>
      </c>
      <c r="O425" s="191">
        <v>0</v>
      </c>
      <c r="P425" s="193">
        <v>6289.59</v>
      </c>
    </row>
    <row r="426" spans="1:16" x14ac:dyDescent="0.25">
      <c r="A426" s="190">
        <v>801010402</v>
      </c>
      <c r="B426" s="190" t="s">
        <v>437</v>
      </c>
      <c r="C426" s="190">
        <v>2111</v>
      </c>
      <c r="D426" s="190" t="s">
        <v>408</v>
      </c>
      <c r="E426" s="191">
        <v>0</v>
      </c>
      <c r="F426" s="191">
        <v>0</v>
      </c>
      <c r="G426" s="191">
        <v>188.36</v>
      </c>
      <c r="H426" s="191">
        <v>0</v>
      </c>
      <c r="I426" s="191">
        <v>0</v>
      </c>
      <c r="J426" s="193">
        <v>10285.07</v>
      </c>
      <c r="K426" s="191">
        <v>0</v>
      </c>
      <c r="L426" s="191">
        <v>0</v>
      </c>
      <c r="M426" s="191">
        <v>0</v>
      </c>
      <c r="N426" s="191">
        <v>0</v>
      </c>
      <c r="O426" s="191">
        <v>0</v>
      </c>
      <c r="P426" s="193">
        <v>6289.59</v>
      </c>
    </row>
    <row r="427" spans="1:16" x14ac:dyDescent="0.25">
      <c r="A427" s="190">
        <v>801010402</v>
      </c>
      <c r="B427" s="190" t="s">
        <v>407</v>
      </c>
      <c r="C427" s="190">
        <v>2112</v>
      </c>
      <c r="D427" s="190" t="s">
        <v>408</v>
      </c>
      <c r="E427" s="191">
        <v>0</v>
      </c>
      <c r="F427" s="193">
        <v>80786.559999999998</v>
      </c>
      <c r="G427" s="191">
        <v>0</v>
      </c>
      <c r="H427" s="193">
        <v>24735.55</v>
      </c>
      <c r="I427" s="191">
        <v>0</v>
      </c>
      <c r="J427" s="191">
        <v>0</v>
      </c>
      <c r="K427" s="191">
        <v>0</v>
      </c>
      <c r="L427" s="191">
        <v>0</v>
      </c>
      <c r="M427" s="191">
        <v>0</v>
      </c>
      <c r="N427" s="191">
        <v>0</v>
      </c>
      <c r="O427" s="191">
        <v>0</v>
      </c>
      <c r="P427" s="191">
        <v>0</v>
      </c>
    </row>
    <row r="428" spans="1:16" x14ac:dyDescent="0.25">
      <c r="A428" s="190">
        <v>801010402</v>
      </c>
      <c r="B428" s="190" t="s">
        <v>407</v>
      </c>
      <c r="C428" s="190">
        <v>2122</v>
      </c>
      <c r="D428" s="190" t="s">
        <v>408</v>
      </c>
      <c r="E428" s="191">
        <v>0</v>
      </c>
      <c r="F428" s="191">
        <v>0</v>
      </c>
      <c r="G428" s="191">
        <v>0</v>
      </c>
      <c r="H428" s="191">
        <v>0</v>
      </c>
      <c r="I428" s="191">
        <v>0</v>
      </c>
      <c r="J428" s="193">
        <v>19900</v>
      </c>
      <c r="K428" s="191">
        <v>0</v>
      </c>
      <c r="L428" s="191">
        <v>0</v>
      </c>
      <c r="M428" s="191">
        <v>0</v>
      </c>
      <c r="N428" s="191">
        <v>0</v>
      </c>
      <c r="O428" s="191">
        <v>0</v>
      </c>
      <c r="P428" s="191">
        <v>0</v>
      </c>
    </row>
    <row r="429" spans="1:16" x14ac:dyDescent="0.25">
      <c r="A429" s="190">
        <v>801010402</v>
      </c>
      <c r="B429" s="190" t="s">
        <v>407</v>
      </c>
      <c r="C429" s="190">
        <v>2141</v>
      </c>
      <c r="D429" s="190" t="s">
        <v>408</v>
      </c>
      <c r="E429" s="191">
        <v>0</v>
      </c>
      <c r="F429" s="193">
        <v>19857.16</v>
      </c>
      <c r="G429" s="193">
        <v>18073.22</v>
      </c>
      <c r="H429" s="193">
        <v>9622.2000000000007</v>
      </c>
      <c r="I429" s="191">
        <v>0</v>
      </c>
      <c r="J429" s="193">
        <v>45099.68</v>
      </c>
      <c r="K429" s="193">
        <v>23697.58</v>
      </c>
      <c r="L429" s="191">
        <v>0</v>
      </c>
      <c r="M429" s="191">
        <v>0</v>
      </c>
      <c r="N429" s="191">
        <v>0</v>
      </c>
      <c r="O429" s="193">
        <v>83118.710000000006</v>
      </c>
      <c r="P429" s="193">
        <v>53113.16</v>
      </c>
    </row>
    <row r="430" spans="1:16" x14ac:dyDescent="0.25">
      <c r="A430" s="190">
        <v>801010402</v>
      </c>
      <c r="B430" s="190" t="s">
        <v>410</v>
      </c>
      <c r="C430" s="190">
        <v>2141</v>
      </c>
      <c r="D430" s="190" t="s">
        <v>408</v>
      </c>
      <c r="E430" s="191">
        <v>0</v>
      </c>
      <c r="F430" s="193">
        <v>3770</v>
      </c>
      <c r="G430" s="193">
        <v>1811.13</v>
      </c>
      <c r="H430" s="191">
        <v>0</v>
      </c>
      <c r="I430" s="191">
        <v>0</v>
      </c>
      <c r="J430" s="191">
        <v>0</v>
      </c>
      <c r="K430" s="193">
        <v>7899.13</v>
      </c>
      <c r="L430" s="191">
        <v>0</v>
      </c>
      <c r="M430" s="191">
        <v>0</v>
      </c>
      <c r="N430" s="191">
        <v>0</v>
      </c>
      <c r="O430" s="193">
        <v>11615.51</v>
      </c>
      <c r="P430" s="191">
        <v>0</v>
      </c>
    </row>
    <row r="431" spans="1:16" x14ac:dyDescent="0.25">
      <c r="A431" s="190">
        <v>801010402</v>
      </c>
      <c r="B431" s="190" t="s">
        <v>411</v>
      </c>
      <c r="C431" s="190">
        <v>2141</v>
      </c>
      <c r="D431" s="190" t="s">
        <v>408</v>
      </c>
      <c r="E431" s="191">
        <v>0</v>
      </c>
      <c r="F431" s="193">
        <v>3770</v>
      </c>
      <c r="G431" s="193">
        <v>1811.44</v>
      </c>
      <c r="H431" s="191">
        <v>0</v>
      </c>
      <c r="I431" s="191">
        <v>0</v>
      </c>
      <c r="J431" s="191">
        <v>0</v>
      </c>
      <c r="K431" s="193">
        <v>7899.13</v>
      </c>
      <c r="L431" s="191">
        <v>0</v>
      </c>
      <c r="M431" s="191">
        <v>0</v>
      </c>
      <c r="N431" s="191">
        <v>0</v>
      </c>
      <c r="O431" s="193">
        <v>11615.51</v>
      </c>
      <c r="P431" s="191">
        <v>0</v>
      </c>
    </row>
    <row r="432" spans="1:16" x14ac:dyDescent="0.25">
      <c r="A432" s="190">
        <v>801010402</v>
      </c>
      <c r="B432" s="190" t="s">
        <v>412</v>
      </c>
      <c r="C432" s="190">
        <v>2141</v>
      </c>
      <c r="D432" s="190" t="s">
        <v>408</v>
      </c>
      <c r="E432" s="191">
        <v>0</v>
      </c>
      <c r="F432" s="193">
        <v>3770</v>
      </c>
      <c r="G432" s="193">
        <v>1811.44</v>
      </c>
      <c r="H432" s="191">
        <v>0</v>
      </c>
      <c r="I432" s="191">
        <v>0</v>
      </c>
      <c r="J432" s="191">
        <v>0</v>
      </c>
      <c r="K432" s="193">
        <v>7899.13</v>
      </c>
      <c r="L432" s="191">
        <v>0</v>
      </c>
      <c r="M432" s="191">
        <v>0</v>
      </c>
      <c r="N432" s="191">
        <v>0</v>
      </c>
      <c r="O432" s="193">
        <v>11615.51</v>
      </c>
      <c r="P432" s="191">
        <v>0</v>
      </c>
    </row>
    <row r="433" spans="1:16" x14ac:dyDescent="0.25">
      <c r="A433" s="190">
        <v>801010402</v>
      </c>
      <c r="B433" s="190" t="s">
        <v>413</v>
      </c>
      <c r="C433" s="190">
        <v>2141</v>
      </c>
      <c r="D433" s="190" t="s">
        <v>408</v>
      </c>
      <c r="E433" s="191">
        <v>0</v>
      </c>
      <c r="F433" s="193">
        <v>3770</v>
      </c>
      <c r="G433" s="193">
        <v>1811.44</v>
      </c>
      <c r="H433" s="191">
        <v>0</v>
      </c>
      <c r="I433" s="191">
        <v>0</v>
      </c>
      <c r="J433" s="191">
        <v>0</v>
      </c>
      <c r="K433" s="193">
        <v>7899.13</v>
      </c>
      <c r="L433" s="191">
        <v>0</v>
      </c>
      <c r="M433" s="191">
        <v>0</v>
      </c>
      <c r="N433" s="191">
        <v>0</v>
      </c>
      <c r="O433" s="193">
        <v>11615.51</v>
      </c>
      <c r="P433" s="191">
        <v>0</v>
      </c>
    </row>
    <row r="434" spans="1:16" x14ac:dyDescent="0.25">
      <c r="A434" s="190">
        <v>801010402</v>
      </c>
      <c r="B434" s="190" t="s">
        <v>414</v>
      </c>
      <c r="C434" s="190">
        <v>2141</v>
      </c>
      <c r="D434" s="190" t="s">
        <v>408</v>
      </c>
      <c r="E434" s="191">
        <v>0</v>
      </c>
      <c r="F434" s="193">
        <v>3770</v>
      </c>
      <c r="G434" s="193">
        <v>4607.3900000000003</v>
      </c>
      <c r="H434" s="191">
        <v>0</v>
      </c>
      <c r="I434" s="191">
        <v>0</v>
      </c>
      <c r="J434" s="191">
        <v>0</v>
      </c>
      <c r="K434" s="193">
        <v>7899.13</v>
      </c>
      <c r="L434" s="191">
        <v>0</v>
      </c>
      <c r="M434" s="191">
        <v>0</v>
      </c>
      <c r="N434" s="191">
        <v>0</v>
      </c>
      <c r="O434" s="193">
        <v>11615.51</v>
      </c>
      <c r="P434" s="191">
        <v>0</v>
      </c>
    </row>
    <row r="435" spans="1:16" x14ac:dyDescent="0.25">
      <c r="A435" s="190">
        <v>801010402</v>
      </c>
      <c r="B435" s="190" t="s">
        <v>415</v>
      </c>
      <c r="C435" s="190">
        <v>2141</v>
      </c>
      <c r="D435" s="190" t="s">
        <v>408</v>
      </c>
      <c r="E435" s="191">
        <v>0</v>
      </c>
      <c r="F435" s="193">
        <v>3770</v>
      </c>
      <c r="G435" s="193">
        <v>7364.44</v>
      </c>
      <c r="H435" s="191">
        <v>0</v>
      </c>
      <c r="I435" s="191">
        <v>0</v>
      </c>
      <c r="J435" s="191">
        <v>0</v>
      </c>
      <c r="K435" s="193">
        <v>7899.13</v>
      </c>
      <c r="L435" s="191">
        <v>0</v>
      </c>
      <c r="M435" s="191">
        <v>0</v>
      </c>
      <c r="N435" s="191">
        <v>0</v>
      </c>
      <c r="O435" s="193">
        <v>11615.51</v>
      </c>
      <c r="P435" s="191">
        <v>0</v>
      </c>
    </row>
    <row r="436" spans="1:16" x14ac:dyDescent="0.25">
      <c r="A436" s="190">
        <v>801010402</v>
      </c>
      <c r="B436" s="190" t="s">
        <v>416</v>
      </c>
      <c r="C436" s="190">
        <v>2141</v>
      </c>
      <c r="D436" s="190" t="s">
        <v>408</v>
      </c>
      <c r="E436" s="191">
        <v>0</v>
      </c>
      <c r="F436" s="193">
        <v>3770</v>
      </c>
      <c r="G436" s="193">
        <v>7364.44</v>
      </c>
      <c r="H436" s="191">
        <v>0</v>
      </c>
      <c r="I436" s="191">
        <v>0</v>
      </c>
      <c r="J436" s="191">
        <v>0</v>
      </c>
      <c r="K436" s="193">
        <v>7899.13</v>
      </c>
      <c r="L436" s="191">
        <v>0</v>
      </c>
      <c r="M436" s="191">
        <v>0</v>
      </c>
      <c r="N436" s="191">
        <v>0</v>
      </c>
      <c r="O436" s="193">
        <v>11615.51</v>
      </c>
      <c r="P436" s="191">
        <v>0</v>
      </c>
    </row>
    <row r="437" spans="1:16" x14ac:dyDescent="0.25">
      <c r="A437" s="190">
        <v>801010402</v>
      </c>
      <c r="B437" s="190" t="s">
        <v>417</v>
      </c>
      <c r="C437" s="190">
        <v>2141</v>
      </c>
      <c r="D437" s="190" t="s">
        <v>408</v>
      </c>
      <c r="E437" s="191">
        <v>0</v>
      </c>
      <c r="F437" s="193">
        <v>3770</v>
      </c>
      <c r="G437" s="193">
        <v>7364.44</v>
      </c>
      <c r="H437" s="191">
        <v>0</v>
      </c>
      <c r="I437" s="191">
        <v>0</v>
      </c>
      <c r="J437" s="191">
        <v>0</v>
      </c>
      <c r="K437" s="193">
        <v>7899.13</v>
      </c>
      <c r="L437" s="191">
        <v>0</v>
      </c>
      <c r="M437" s="191">
        <v>0</v>
      </c>
      <c r="N437" s="191">
        <v>0</v>
      </c>
      <c r="O437" s="193">
        <v>11615.51</v>
      </c>
      <c r="P437" s="193">
        <v>5162</v>
      </c>
    </row>
    <row r="438" spans="1:16" x14ac:dyDescent="0.25">
      <c r="A438" s="190">
        <v>801010402</v>
      </c>
      <c r="B438" s="190" t="s">
        <v>419</v>
      </c>
      <c r="C438" s="190">
        <v>2141</v>
      </c>
      <c r="D438" s="190" t="s">
        <v>408</v>
      </c>
      <c r="E438" s="191">
        <v>0</v>
      </c>
      <c r="F438" s="193">
        <v>3770</v>
      </c>
      <c r="G438" s="193">
        <v>7364.44</v>
      </c>
      <c r="H438" s="191">
        <v>0</v>
      </c>
      <c r="I438" s="191">
        <v>0</v>
      </c>
      <c r="J438" s="191">
        <v>0</v>
      </c>
      <c r="K438" s="193">
        <v>7899.13</v>
      </c>
      <c r="L438" s="191">
        <v>0</v>
      </c>
      <c r="M438" s="191">
        <v>0</v>
      </c>
      <c r="N438" s="191">
        <v>0</v>
      </c>
      <c r="O438" s="193">
        <v>11615.51</v>
      </c>
      <c r="P438" s="191">
        <v>0</v>
      </c>
    </row>
    <row r="439" spans="1:16" x14ac:dyDescent="0.25">
      <c r="A439" s="190">
        <v>801010402</v>
      </c>
      <c r="B439" s="190" t="s">
        <v>420</v>
      </c>
      <c r="C439" s="190">
        <v>2141</v>
      </c>
      <c r="D439" s="190" t="s">
        <v>408</v>
      </c>
      <c r="E439" s="191">
        <v>0</v>
      </c>
      <c r="F439" s="193">
        <v>3770</v>
      </c>
      <c r="G439" s="193">
        <v>7364.44</v>
      </c>
      <c r="H439" s="191">
        <v>0</v>
      </c>
      <c r="I439" s="191">
        <v>0</v>
      </c>
      <c r="J439" s="191">
        <v>0</v>
      </c>
      <c r="K439" s="193">
        <v>7899.13</v>
      </c>
      <c r="L439" s="191">
        <v>0</v>
      </c>
      <c r="M439" s="191">
        <v>0</v>
      </c>
      <c r="N439" s="191">
        <v>0</v>
      </c>
      <c r="O439" s="193">
        <v>11615.51</v>
      </c>
      <c r="P439" s="191">
        <v>0</v>
      </c>
    </row>
    <row r="440" spans="1:16" x14ac:dyDescent="0.25">
      <c r="A440" s="190">
        <v>801010402</v>
      </c>
      <c r="B440" s="190" t="s">
        <v>421</v>
      </c>
      <c r="C440" s="190">
        <v>2141</v>
      </c>
      <c r="D440" s="190" t="s">
        <v>408</v>
      </c>
      <c r="E440" s="191">
        <v>0</v>
      </c>
      <c r="F440" s="193">
        <v>3770</v>
      </c>
      <c r="G440" s="193">
        <v>4418.34</v>
      </c>
      <c r="H440" s="191">
        <v>0</v>
      </c>
      <c r="I440" s="191">
        <v>0</v>
      </c>
      <c r="J440" s="191">
        <v>0</v>
      </c>
      <c r="K440" s="193">
        <v>7899.13</v>
      </c>
      <c r="L440" s="191">
        <v>0</v>
      </c>
      <c r="M440" s="191">
        <v>0</v>
      </c>
      <c r="N440" s="191">
        <v>0</v>
      </c>
      <c r="O440" s="193">
        <v>11615.51</v>
      </c>
      <c r="P440" s="191">
        <v>0</v>
      </c>
    </row>
    <row r="441" spans="1:16" x14ac:dyDescent="0.25">
      <c r="A441" s="190">
        <v>801010402</v>
      </c>
      <c r="B441" s="190" t="s">
        <v>422</v>
      </c>
      <c r="C441" s="190">
        <v>2141</v>
      </c>
      <c r="D441" s="190" t="s">
        <v>408</v>
      </c>
      <c r="E441" s="191">
        <v>0</v>
      </c>
      <c r="F441" s="193">
        <v>3770</v>
      </c>
      <c r="G441" s="193">
        <v>4418.34</v>
      </c>
      <c r="H441" s="191">
        <v>0</v>
      </c>
      <c r="I441" s="191">
        <v>0</v>
      </c>
      <c r="J441" s="191">
        <v>0</v>
      </c>
      <c r="K441" s="193">
        <v>7899.13</v>
      </c>
      <c r="L441" s="191">
        <v>0</v>
      </c>
      <c r="M441" s="191">
        <v>0</v>
      </c>
      <c r="N441" s="191">
        <v>0</v>
      </c>
      <c r="O441" s="193">
        <v>11615.51</v>
      </c>
      <c r="P441" s="191">
        <v>0</v>
      </c>
    </row>
    <row r="442" spans="1:16" x14ac:dyDescent="0.25">
      <c r="A442" s="190">
        <v>801010402</v>
      </c>
      <c r="B442" s="190" t="s">
        <v>423</v>
      </c>
      <c r="C442" s="190">
        <v>2141</v>
      </c>
      <c r="D442" s="190" t="s">
        <v>408</v>
      </c>
      <c r="E442" s="191">
        <v>0</v>
      </c>
      <c r="F442" s="193">
        <v>3770</v>
      </c>
      <c r="G442" s="193">
        <v>4418.34</v>
      </c>
      <c r="H442" s="191">
        <v>0</v>
      </c>
      <c r="I442" s="191">
        <v>0</v>
      </c>
      <c r="J442" s="191">
        <v>0</v>
      </c>
      <c r="K442" s="193">
        <v>7899.13</v>
      </c>
      <c r="L442" s="191">
        <v>0</v>
      </c>
      <c r="M442" s="191">
        <v>0</v>
      </c>
      <c r="N442" s="191">
        <v>0</v>
      </c>
      <c r="O442" s="193">
        <v>11615.51</v>
      </c>
      <c r="P442" s="191">
        <v>0</v>
      </c>
    </row>
    <row r="443" spans="1:16" x14ac:dyDescent="0.25">
      <c r="A443" s="190">
        <v>801010402</v>
      </c>
      <c r="B443" s="190" t="s">
        <v>424</v>
      </c>
      <c r="C443" s="190">
        <v>2141</v>
      </c>
      <c r="D443" s="190" t="s">
        <v>408</v>
      </c>
      <c r="E443" s="191">
        <v>0</v>
      </c>
      <c r="F443" s="193">
        <v>3770</v>
      </c>
      <c r="G443" s="193">
        <v>4418.34</v>
      </c>
      <c r="H443" s="191">
        <v>0</v>
      </c>
      <c r="I443" s="191">
        <v>0</v>
      </c>
      <c r="J443" s="191">
        <v>0</v>
      </c>
      <c r="K443" s="193">
        <v>7899.13</v>
      </c>
      <c r="L443" s="191">
        <v>0</v>
      </c>
      <c r="M443" s="191">
        <v>0</v>
      </c>
      <c r="N443" s="191">
        <v>0</v>
      </c>
      <c r="O443" s="193">
        <v>11615.51</v>
      </c>
      <c r="P443" s="191">
        <v>0</v>
      </c>
    </row>
    <row r="444" spans="1:16" x14ac:dyDescent="0.25">
      <c r="A444" s="190">
        <v>801010402</v>
      </c>
      <c r="B444" s="190" t="s">
        <v>425</v>
      </c>
      <c r="C444" s="190">
        <v>2141</v>
      </c>
      <c r="D444" s="190" t="s">
        <v>408</v>
      </c>
      <c r="E444" s="191">
        <v>0</v>
      </c>
      <c r="F444" s="193">
        <v>3770</v>
      </c>
      <c r="G444" s="193">
        <v>4418.34</v>
      </c>
      <c r="H444" s="191">
        <v>0</v>
      </c>
      <c r="I444" s="191">
        <v>0</v>
      </c>
      <c r="J444" s="191">
        <v>0</v>
      </c>
      <c r="K444" s="193">
        <v>12801.34</v>
      </c>
      <c r="L444" s="191">
        <v>0</v>
      </c>
      <c r="M444" s="191">
        <v>0</v>
      </c>
      <c r="N444" s="191">
        <v>0</v>
      </c>
      <c r="O444" s="193">
        <v>11615.51</v>
      </c>
      <c r="P444" s="191">
        <v>0</v>
      </c>
    </row>
    <row r="445" spans="1:16" x14ac:dyDescent="0.25">
      <c r="A445" s="190">
        <v>801010402</v>
      </c>
      <c r="B445" s="190" t="s">
        <v>426</v>
      </c>
      <c r="C445" s="190">
        <v>2141</v>
      </c>
      <c r="D445" s="190" t="s">
        <v>408</v>
      </c>
      <c r="E445" s="191">
        <v>0</v>
      </c>
      <c r="F445" s="193">
        <v>3770</v>
      </c>
      <c r="G445" s="193">
        <v>4418.34</v>
      </c>
      <c r="H445" s="191">
        <v>0</v>
      </c>
      <c r="I445" s="191">
        <v>0</v>
      </c>
      <c r="J445" s="191">
        <v>0</v>
      </c>
      <c r="K445" s="193">
        <v>19155.669999999998</v>
      </c>
      <c r="L445" s="191">
        <v>0</v>
      </c>
      <c r="M445" s="191">
        <v>0</v>
      </c>
      <c r="N445" s="191">
        <v>0</v>
      </c>
      <c r="O445" s="193">
        <v>11615.51</v>
      </c>
      <c r="P445" s="191">
        <v>0</v>
      </c>
    </row>
    <row r="446" spans="1:16" x14ac:dyDescent="0.25">
      <c r="A446" s="190">
        <v>801010402</v>
      </c>
      <c r="B446" s="190" t="s">
        <v>427</v>
      </c>
      <c r="C446" s="190">
        <v>2141</v>
      </c>
      <c r="D446" s="190" t="s">
        <v>408</v>
      </c>
      <c r="E446" s="191">
        <v>0</v>
      </c>
      <c r="F446" s="193">
        <v>3770</v>
      </c>
      <c r="G446" s="193">
        <v>4418.34</v>
      </c>
      <c r="H446" s="191">
        <v>0</v>
      </c>
      <c r="I446" s="191">
        <v>0</v>
      </c>
      <c r="J446" s="191">
        <v>0</v>
      </c>
      <c r="K446" s="193">
        <v>10518.25</v>
      </c>
      <c r="L446" s="191">
        <v>0</v>
      </c>
      <c r="M446" s="191">
        <v>0</v>
      </c>
      <c r="N446" s="191">
        <v>0</v>
      </c>
      <c r="O446" s="193">
        <v>11615.51</v>
      </c>
      <c r="P446" s="191">
        <v>0</v>
      </c>
    </row>
    <row r="447" spans="1:16" x14ac:dyDescent="0.25">
      <c r="A447" s="190">
        <v>801010402</v>
      </c>
      <c r="B447" s="190" t="s">
        <v>428</v>
      </c>
      <c r="C447" s="190">
        <v>2141</v>
      </c>
      <c r="D447" s="190" t="s">
        <v>408</v>
      </c>
      <c r="E447" s="191">
        <v>0</v>
      </c>
      <c r="F447" s="193">
        <v>3770</v>
      </c>
      <c r="G447" s="193">
        <v>4419.34</v>
      </c>
      <c r="H447" s="191">
        <v>0</v>
      </c>
      <c r="I447" s="191">
        <v>0</v>
      </c>
      <c r="J447" s="191">
        <v>0</v>
      </c>
      <c r="K447" s="193">
        <v>19155.71</v>
      </c>
      <c r="L447" s="191">
        <v>0</v>
      </c>
      <c r="M447" s="191">
        <v>0</v>
      </c>
      <c r="N447" s="191">
        <v>0</v>
      </c>
      <c r="O447" s="193">
        <v>11615.51</v>
      </c>
      <c r="P447" s="191">
        <v>0</v>
      </c>
    </row>
    <row r="448" spans="1:16" x14ac:dyDescent="0.25">
      <c r="A448" s="190">
        <v>801010402</v>
      </c>
      <c r="B448" s="190" t="s">
        <v>429</v>
      </c>
      <c r="C448" s="190">
        <v>2141</v>
      </c>
      <c r="D448" s="190" t="s">
        <v>408</v>
      </c>
      <c r="E448" s="191">
        <v>0</v>
      </c>
      <c r="F448" s="193">
        <v>3770</v>
      </c>
      <c r="G448" s="193">
        <v>4419.34</v>
      </c>
      <c r="H448" s="191">
        <v>0</v>
      </c>
      <c r="I448" s="191">
        <v>0</v>
      </c>
      <c r="J448" s="191">
        <v>0</v>
      </c>
      <c r="K448" s="193">
        <v>19155.71</v>
      </c>
      <c r="L448" s="191">
        <v>0</v>
      </c>
      <c r="M448" s="191">
        <v>0</v>
      </c>
      <c r="N448" s="191">
        <v>0</v>
      </c>
      <c r="O448" s="193">
        <v>11615.51</v>
      </c>
      <c r="P448" s="191">
        <v>0</v>
      </c>
    </row>
    <row r="449" spans="1:16" x14ac:dyDescent="0.25">
      <c r="A449" s="190">
        <v>801010402</v>
      </c>
      <c r="B449" s="190" t="s">
        <v>430</v>
      </c>
      <c r="C449" s="190">
        <v>2141</v>
      </c>
      <c r="D449" s="190" t="s">
        <v>408</v>
      </c>
      <c r="E449" s="191">
        <v>0</v>
      </c>
      <c r="F449" s="193">
        <v>3770</v>
      </c>
      <c r="G449" s="193">
        <v>4419.34</v>
      </c>
      <c r="H449" s="191">
        <v>0</v>
      </c>
      <c r="I449" s="191">
        <v>0</v>
      </c>
      <c r="J449" s="191">
        <v>0</v>
      </c>
      <c r="K449" s="193">
        <v>19155.71</v>
      </c>
      <c r="L449" s="191">
        <v>0</v>
      </c>
      <c r="M449" s="191">
        <v>0</v>
      </c>
      <c r="N449" s="191">
        <v>0</v>
      </c>
      <c r="O449" s="193">
        <v>11615.51</v>
      </c>
      <c r="P449" s="191">
        <v>0</v>
      </c>
    </row>
    <row r="450" spans="1:16" x14ac:dyDescent="0.25">
      <c r="A450" s="190">
        <v>801010402</v>
      </c>
      <c r="B450" s="190" t="s">
        <v>431</v>
      </c>
      <c r="C450" s="190">
        <v>2141</v>
      </c>
      <c r="D450" s="190" t="s">
        <v>408</v>
      </c>
      <c r="E450" s="191">
        <v>0</v>
      </c>
      <c r="F450" s="193">
        <v>3770</v>
      </c>
      <c r="G450" s="193">
        <v>4419.34</v>
      </c>
      <c r="H450" s="191">
        <v>0</v>
      </c>
      <c r="I450" s="191">
        <v>0</v>
      </c>
      <c r="J450" s="191">
        <v>0</v>
      </c>
      <c r="K450" s="193">
        <v>19155.71</v>
      </c>
      <c r="L450" s="191">
        <v>0</v>
      </c>
      <c r="M450" s="191">
        <v>0</v>
      </c>
      <c r="N450" s="191">
        <v>0</v>
      </c>
      <c r="O450" s="193">
        <v>11615.51</v>
      </c>
      <c r="P450" s="191">
        <v>0</v>
      </c>
    </row>
    <row r="451" spans="1:16" x14ac:dyDescent="0.25">
      <c r="A451" s="190">
        <v>801010402</v>
      </c>
      <c r="B451" s="190" t="s">
        <v>432</v>
      </c>
      <c r="C451" s="190">
        <v>2141</v>
      </c>
      <c r="D451" s="190" t="s">
        <v>408</v>
      </c>
      <c r="E451" s="191">
        <v>0</v>
      </c>
      <c r="F451" s="193">
        <v>3770</v>
      </c>
      <c r="G451" s="193">
        <v>4419.34</v>
      </c>
      <c r="H451" s="191">
        <v>0</v>
      </c>
      <c r="I451" s="191">
        <v>0</v>
      </c>
      <c r="J451" s="191">
        <v>0</v>
      </c>
      <c r="K451" s="193">
        <v>19155.71</v>
      </c>
      <c r="L451" s="191">
        <v>0</v>
      </c>
      <c r="M451" s="191">
        <v>0</v>
      </c>
      <c r="N451" s="191">
        <v>0</v>
      </c>
      <c r="O451" s="193">
        <v>11615.51</v>
      </c>
      <c r="P451" s="191">
        <v>0</v>
      </c>
    </row>
    <row r="452" spans="1:16" x14ac:dyDescent="0.25">
      <c r="A452" s="190">
        <v>801010402</v>
      </c>
      <c r="B452" s="190" t="s">
        <v>433</v>
      </c>
      <c r="C452" s="190">
        <v>2141</v>
      </c>
      <c r="D452" s="190" t="s">
        <v>408</v>
      </c>
      <c r="E452" s="191">
        <v>0</v>
      </c>
      <c r="F452" s="191">
        <v>0</v>
      </c>
      <c r="G452" s="193">
        <v>1448</v>
      </c>
      <c r="H452" s="191">
        <v>0</v>
      </c>
      <c r="I452" s="191">
        <v>0</v>
      </c>
      <c r="J452" s="191">
        <v>0</v>
      </c>
      <c r="K452" s="193">
        <v>19155.71</v>
      </c>
      <c r="L452" s="191">
        <v>0</v>
      </c>
      <c r="M452" s="191">
        <v>0</v>
      </c>
      <c r="N452" s="191">
        <v>0</v>
      </c>
      <c r="O452" s="193">
        <v>11615.51</v>
      </c>
      <c r="P452" s="191">
        <v>0</v>
      </c>
    </row>
    <row r="453" spans="1:16" x14ac:dyDescent="0.25">
      <c r="A453" s="190">
        <v>801010402</v>
      </c>
      <c r="B453" s="190" t="s">
        <v>434</v>
      </c>
      <c r="C453" s="190">
        <v>2141</v>
      </c>
      <c r="D453" s="190" t="s">
        <v>408</v>
      </c>
      <c r="E453" s="191">
        <v>0</v>
      </c>
      <c r="F453" s="191">
        <v>0</v>
      </c>
      <c r="G453" s="193">
        <v>1448</v>
      </c>
      <c r="H453" s="191">
        <v>0</v>
      </c>
      <c r="I453" s="191">
        <v>0</v>
      </c>
      <c r="J453" s="191">
        <v>0</v>
      </c>
      <c r="K453" s="193">
        <v>13662.48</v>
      </c>
      <c r="L453" s="191">
        <v>0</v>
      </c>
      <c r="M453" s="191">
        <v>0</v>
      </c>
      <c r="N453" s="191">
        <v>0</v>
      </c>
      <c r="O453" s="193">
        <v>11615.51</v>
      </c>
      <c r="P453" s="191">
        <v>0</v>
      </c>
    </row>
    <row r="454" spans="1:16" x14ac:dyDescent="0.25">
      <c r="A454" s="190">
        <v>801010402</v>
      </c>
      <c r="B454" s="190" t="s">
        <v>435</v>
      </c>
      <c r="C454" s="190">
        <v>2141</v>
      </c>
      <c r="D454" s="190" t="s">
        <v>408</v>
      </c>
      <c r="E454" s="191">
        <v>0</v>
      </c>
      <c r="F454" s="191">
        <v>0</v>
      </c>
      <c r="G454" s="193">
        <v>1448</v>
      </c>
      <c r="H454" s="191">
        <v>0</v>
      </c>
      <c r="I454" s="191">
        <v>0</v>
      </c>
      <c r="J454" s="191">
        <v>0</v>
      </c>
      <c r="K454" s="193">
        <v>7899.13</v>
      </c>
      <c r="L454" s="191">
        <v>0</v>
      </c>
      <c r="M454" s="191">
        <v>0</v>
      </c>
      <c r="N454" s="191">
        <v>0</v>
      </c>
      <c r="O454" s="193">
        <v>11615.51</v>
      </c>
      <c r="P454" s="191">
        <v>0</v>
      </c>
    </row>
    <row r="455" spans="1:16" x14ac:dyDescent="0.25">
      <c r="A455" s="190">
        <v>801010402</v>
      </c>
      <c r="B455" s="190" t="s">
        <v>436</v>
      </c>
      <c r="C455" s="190">
        <v>2141</v>
      </c>
      <c r="D455" s="190" t="s">
        <v>408</v>
      </c>
      <c r="E455" s="191">
        <v>0</v>
      </c>
      <c r="F455" s="191">
        <v>0</v>
      </c>
      <c r="G455" s="193">
        <v>1448</v>
      </c>
      <c r="H455" s="191">
        <v>0</v>
      </c>
      <c r="I455" s="191">
        <v>0</v>
      </c>
      <c r="J455" s="191">
        <v>0</v>
      </c>
      <c r="K455" s="193">
        <v>7899.13</v>
      </c>
      <c r="L455" s="191">
        <v>0</v>
      </c>
      <c r="M455" s="191">
        <v>0</v>
      </c>
      <c r="N455" s="191">
        <v>0</v>
      </c>
      <c r="O455" s="193">
        <v>11615.51</v>
      </c>
      <c r="P455" s="191">
        <v>0</v>
      </c>
    </row>
    <row r="456" spans="1:16" x14ac:dyDescent="0.25">
      <c r="A456" s="190">
        <v>801010402</v>
      </c>
      <c r="B456" s="190" t="s">
        <v>437</v>
      </c>
      <c r="C456" s="190">
        <v>2141</v>
      </c>
      <c r="D456" s="190" t="s">
        <v>408</v>
      </c>
      <c r="E456" s="191">
        <v>0</v>
      </c>
      <c r="F456" s="193">
        <v>3760.92</v>
      </c>
      <c r="G456" s="193">
        <v>1543.36</v>
      </c>
      <c r="H456" s="191">
        <v>0</v>
      </c>
      <c r="I456" s="191">
        <v>0</v>
      </c>
      <c r="J456" s="191">
        <v>0</v>
      </c>
      <c r="K456" s="193">
        <v>12878.63</v>
      </c>
      <c r="L456" s="191">
        <v>0</v>
      </c>
      <c r="M456" s="191">
        <v>0</v>
      </c>
      <c r="N456" s="191">
        <v>0</v>
      </c>
      <c r="O456" s="193">
        <v>11615.51</v>
      </c>
      <c r="P456" s="191">
        <v>0</v>
      </c>
    </row>
    <row r="457" spans="1:16" x14ac:dyDescent="0.25">
      <c r="A457" s="190">
        <v>801010402</v>
      </c>
      <c r="B457" s="190" t="s">
        <v>407</v>
      </c>
      <c r="C457" s="190">
        <v>2161</v>
      </c>
      <c r="D457" s="190" t="s">
        <v>408</v>
      </c>
      <c r="E457" s="191">
        <v>0</v>
      </c>
      <c r="F457" s="191">
        <v>0</v>
      </c>
      <c r="G457" s="191">
        <v>0</v>
      </c>
      <c r="H457" s="193">
        <v>18157.96</v>
      </c>
      <c r="I457" s="193">
        <v>13145.96</v>
      </c>
      <c r="J457" s="191">
        <v>0</v>
      </c>
      <c r="K457" s="191">
        <v>0</v>
      </c>
      <c r="L457" s="191">
        <v>0</v>
      </c>
      <c r="M457" s="193">
        <v>8212.18</v>
      </c>
      <c r="N457" s="193">
        <v>25475.43</v>
      </c>
      <c r="O457" s="191">
        <v>0</v>
      </c>
      <c r="P457" s="193">
        <v>31307.96</v>
      </c>
    </row>
    <row r="458" spans="1:16" x14ac:dyDescent="0.25">
      <c r="A458" s="190">
        <v>801010402</v>
      </c>
      <c r="B458" s="190" t="s">
        <v>410</v>
      </c>
      <c r="C458" s="190">
        <v>2161</v>
      </c>
      <c r="D458" s="190" t="s">
        <v>408</v>
      </c>
      <c r="E458" s="191">
        <v>0</v>
      </c>
      <c r="F458" s="191">
        <v>0</v>
      </c>
      <c r="G458" s="191">
        <v>0</v>
      </c>
      <c r="H458" s="193">
        <v>4858.04</v>
      </c>
      <c r="I458" s="193">
        <v>4382.0200000000004</v>
      </c>
      <c r="J458" s="191">
        <v>0</v>
      </c>
      <c r="K458" s="191">
        <v>0</v>
      </c>
      <c r="L458" s="191">
        <v>0</v>
      </c>
      <c r="M458" s="193">
        <v>2737.31</v>
      </c>
      <c r="N458" s="193">
        <v>8491.81</v>
      </c>
      <c r="O458" s="191">
        <v>0</v>
      </c>
      <c r="P458" s="193">
        <v>10435.98</v>
      </c>
    </row>
    <row r="459" spans="1:16" x14ac:dyDescent="0.25">
      <c r="A459" s="190">
        <v>801010402</v>
      </c>
      <c r="B459" s="190" t="s">
        <v>411</v>
      </c>
      <c r="C459" s="190">
        <v>2161</v>
      </c>
      <c r="D459" s="190" t="s">
        <v>408</v>
      </c>
      <c r="E459" s="191">
        <v>0</v>
      </c>
      <c r="F459" s="191">
        <v>0</v>
      </c>
      <c r="G459" s="191">
        <v>0</v>
      </c>
      <c r="H459" s="193">
        <v>4884</v>
      </c>
      <c r="I459" s="193">
        <v>4382.0200000000004</v>
      </c>
      <c r="J459" s="191">
        <v>0</v>
      </c>
      <c r="K459" s="191">
        <v>0</v>
      </c>
      <c r="L459" s="191">
        <v>0</v>
      </c>
      <c r="M459" s="193">
        <v>2737.31</v>
      </c>
      <c r="N459" s="193">
        <v>8491.81</v>
      </c>
      <c r="O459" s="191">
        <v>0</v>
      </c>
      <c r="P459" s="193">
        <v>10435.98</v>
      </c>
    </row>
    <row r="460" spans="1:16" x14ac:dyDescent="0.25">
      <c r="A460" s="190">
        <v>801010402</v>
      </c>
      <c r="B460" s="190" t="s">
        <v>412</v>
      </c>
      <c r="C460" s="190">
        <v>2161</v>
      </c>
      <c r="D460" s="190" t="s">
        <v>408</v>
      </c>
      <c r="E460" s="191">
        <v>0</v>
      </c>
      <c r="F460" s="191">
        <v>0</v>
      </c>
      <c r="G460" s="191">
        <v>0</v>
      </c>
      <c r="H460" s="193">
        <v>4888.84</v>
      </c>
      <c r="I460" s="193">
        <v>4382.0200000000004</v>
      </c>
      <c r="J460" s="191">
        <v>0</v>
      </c>
      <c r="K460" s="191">
        <v>0</v>
      </c>
      <c r="L460" s="191">
        <v>0</v>
      </c>
      <c r="M460" s="193">
        <v>2737.31</v>
      </c>
      <c r="N460" s="193">
        <v>8491.81</v>
      </c>
      <c r="O460" s="191">
        <v>0</v>
      </c>
      <c r="P460" s="193">
        <v>10435.98</v>
      </c>
    </row>
    <row r="461" spans="1:16" x14ac:dyDescent="0.25">
      <c r="A461" s="190">
        <v>801010402</v>
      </c>
      <c r="B461" s="190" t="s">
        <v>413</v>
      </c>
      <c r="C461" s="190">
        <v>2161</v>
      </c>
      <c r="D461" s="190" t="s">
        <v>408</v>
      </c>
      <c r="E461" s="191">
        <v>0</v>
      </c>
      <c r="F461" s="191">
        <v>0</v>
      </c>
      <c r="G461" s="191">
        <v>0</v>
      </c>
      <c r="H461" s="193">
        <v>4884</v>
      </c>
      <c r="I461" s="193">
        <v>4382.0200000000004</v>
      </c>
      <c r="J461" s="191">
        <v>0</v>
      </c>
      <c r="K461" s="191">
        <v>0</v>
      </c>
      <c r="L461" s="191">
        <v>0</v>
      </c>
      <c r="M461" s="193">
        <v>2737.31</v>
      </c>
      <c r="N461" s="193">
        <v>8491.81</v>
      </c>
      <c r="O461" s="191">
        <v>0</v>
      </c>
      <c r="P461" s="193">
        <v>10435.98</v>
      </c>
    </row>
    <row r="462" spans="1:16" x14ac:dyDescent="0.25">
      <c r="A462" s="190">
        <v>801010402</v>
      </c>
      <c r="B462" s="190" t="s">
        <v>414</v>
      </c>
      <c r="C462" s="190">
        <v>2161</v>
      </c>
      <c r="D462" s="190" t="s">
        <v>408</v>
      </c>
      <c r="E462" s="191">
        <v>0</v>
      </c>
      <c r="F462" s="191">
        <v>0</v>
      </c>
      <c r="G462" s="191">
        <v>0</v>
      </c>
      <c r="H462" s="193">
        <v>4884</v>
      </c>
      <c r="I462" s="193">
        <v>4382.0200000000004</v>
      </c>
      <c r="J462" s="191">
        <v>0</v>
      </c>
      <c r="K462" s="191">
        <v>0</v>
      </c>
      <c r="L462" s="191">
        <v>0</v>
      </c>
      <c r="M462" s="193">
        <v>2737.31</v>
      </c>
      <c r="N462" s="193">
        <v>8491.81</v>
      </c>
      <c r="O462" s="191">
        <v>0</v>
      </c>
      <c r="P462" s="193">
        <v>10435.98</v>
      </c>
    </row>
    <row r="463" spans="1:16" x14ac:dyDescent="0.25">
      <c r="A463" s="190">
        <v>801010402</v>
      </c>
      <c r="B463" s="190" t="s">
        <v>415</v>
      </c>
      <c r="C463" s="190">
        <v>2161</v>
      </c>
      <c r="D463" s="190" t="s">
        <v>408</v>
      </c>
      <c r="E463" s="191">
        <v>0</v>
      </c>
      <c r="F463" s="191">
        <v>0</v>
      </c>
      <c r="G463" s="191">
        <v>0</v>
      </c>
      <c r="H463" s="193">
        <v>4884</v>
      </c>
      <c r="I463" s="193">
        <v>4382.0200000000004</v>
      </c>
      <c r="J463" s="191">
        <v>0</v>
      </c>
      <c r="K463" s="191">
        <v>0</v>
      </c>
      <c r="L463" s="191">
        <v>0</v>
      </c>
      <c r="M463" s="193">
        <v>2737.31</v>
      </c>
      <c r="N463" s="193">
        <v>8491.81</v>
      </c>
      <c r="O463" s="191">
        <v>0</v>
      </c>
      <c r="P463" s="193">
        <v>10435.98</v>
      </c>
    </row>
    <row r="464" spans="1:16" x14ac:dyDescent="0.25">
      <c r="A464" s="190">
        <v>801010402</v>
      </c>
      <c r="B464" s="190" t="s">
        <v>416</v>
      </c>
      <c r="C464" s="190">
        <v>2161</v>
      </c>
      <c r="D464" s="190" t="s">
        <v>408</v>
      </c>
      <c r="E464" s="191">
        <v>0</v>
      </c>
      <c r="F464" s="191">
        <v>0</v>
      </c>
      <c r="G464" s="191">
        <v>0</v>
      </c>
      <c r="H464" s="193">
        <v>4884</v>
      </c>
      <c r="I464" s="193">
        <v>4382.0200000000004</v>
      </c>
      <c r="J464" s="191">
        <v>0</v>
      </c>
      <c r="K464" s="191">
        <v>0</v>
      </c>
      <c r="L464" s="191">
        <v>0</v>
      </c>
      <c r="M464" s="193">
        <v>2737.31</v>
      </c>
      <c r="N464" s="193">
        <v>8491.81</v>
      </c>
      <c r="O464" s="191">
        <v>0</v>
      </c>
      <c r="P464" s="193">
        <v>10435.98</v>
      </c>
    </row>
    <row r="465" spans="1:16" x14ac:dyDescent="0.25">
      <c r="A465" s="190">
        <v>801010402</v>
      </c>
      <c r="B465" s="190" t="s">
        <v>417</v>
      </c>
      <c r="C465" s="190">
        <v>2161</v>
      </c>
      <c r="D465" s="190" t="s">
        <v>408</v>
      </c>
      <c r="E465" s="191">
        <v>0</v>
      </c>
      <c r="F465" s="191">
        <v>0</v>
      </c>
      <c r="G465" s="191">
        <v>0</v>
      </c>
      <c r="H465" s="193">
        <v>4884</v>
      </c>
      <c r="I465" s="193">
        <v>4382.0200000000004</v>
      </c>
      <c r="J465" s="191">
        <v>0</v>
      </c>
      <c r="K465" s="191">
        <v>0</v>
      </c>
      <c r="L465" s="191">
        <v>0</v>
      </c>
      <c r="M465" s="193">
        <v>2737.31</v>
      </c>
      <c r="N465" s="193">
        <v>8491.81</v>
      </c>
      <c r="O465" s="191">
        <v>0</v>
      </c>
      <c r="P465" s="193">
        <v>10435.98</v>
      </c>
    </row>
    <row r="466" spans="1:16" x14ac:dyDescent="0.25">
      <c r="A466" s="190">
        <v>801010402</v>
      </c>
      <c r="B466" s="190" t="s">
        <v>419</v>
      </c>
      <c r="C466" s="190">
        <v>2161</v>
      </c>
      <c r="D466" s="190" t="s">
        <v>408</v>
      </c>
      <c r="E466" s="191">
        <v>0</v>
      </c>
      <c r="F466" s="191">
        <v>0</v>
      </c>
      <c r="G466" s="191">
        <v>0</v>
      </c>
      <c r="H466" s="193">
        <v>4884</v>
      </c>
      <c r="I466" s="191">
        <v>600.05999999999995</v>
      </c>
      <c r="J466" s="193">
        <v>3781.96</v>
      </c>
      <c r="K466" s="191">
        <v>0</v>
      </c>
      <c r="L466" s="191">
        <v>0</v>
      </c>
      <c r="M466" s="193">
        <v>2737.31</v>
      </c>
      <c r="N466" s="193">
        <v>8491.81</v>
      </c>
      <c r="O466" s="191">
        <v>0</v>
      </c>
      <c r="P466" s="193">
        <v>10435.98</v>
      </c>
    </row>
    <row r="467" spans="1:16" x14ac:dyDescent="0.25">
      <c r="A467" s="190">
        <v>801010402</v>
      </c>
      <c r="B467" s="190" t="s">
        <v>420</v>
      </c>
      <c r="C467" s="190">
        <v>2161</v>
      </c>
      <c r="D467" s="190" t="s">
        <v>408</v>
      </c>
      <c r="E467" s="191">
        <v>0</v>
      </c>
      <c r="F467" s="191">
        <v>0</v>
      </c>
      <c r="G467" s="191">
        <v>0</v>
      </c>
      <c r="H467" s="193">
        <v>4884</v>
      </c>
      <c r="I467" s="193">
        <v>4382.0200000000004</v>
      </c>
      <c r="J467" s="191">
        <v>0</v>
      </c>
      <c r="K467" s="191">
        <v>0</v>
      </c>
      <c r="L467" s="191">
        <v>0</v>
      </c>
      <c r="M467" s="193">
        <v>2737.31</v>
      </c>
      <c r="N467" s="193">
        <v>8491.81</v>
      </c>
      <c r="O467" s="191">
        <v>0</v>
      </c>
      <c r="P467" s="193">
        <v>10435.98</v>
      </c>
    </row>
    <row r="468" spans="1:16" x14ac:dyDescent="0.25">
      <c r="A468" s="190">
        <v>801010402</v>
      </c>
      <c r="B468" s="190" t="s">
        <v>421</v>
      </c>
      <c r="C468" s="190">
        <v>2161</v>
      </c>
      <c r="D468" s="190" t="s">
        <v>408</v>
      </c>
      <c r="E468" s="191">
        <v>0</v>
      </c>
      <c r="F468" s="191">
        <v>0</v>
      </c>
      <c r="G468" s="191">
        <v>0</v>
      </c>
      <c r="H468" s="193">
        <v>4884</v>
      </c>
      <c r="I468" s="193">
        <v>4382.0200000000004</v>
      </c>
      <c r="J468" s="191">
        <v>0</v>
      </c>
      <c r="K468" s="191">
        <v>0</v>
      </c>
      <c r="L468" s="191">
        <v>0</v>
      </c>
      <c r="M468" s="193">
        <v>2737.31</v>
      </c>
      <c r="N468" s="193">
        <v>8491.81</v>
      </c>
      <c r="O468" s="191">
        <v>0</v>
      </c>
      <c r="P468" s="193">
        <v>10435.98</v>
      </c>
    </row>
    <row r="469" spans="1:16" x14ac:dyDescent="0.25">
      <c r="A469" s="190">
        <v>801010402</v>
      </c>
      <c r="B469" s="190" t="s">
        <v>422</v>
      </c>
      <c r="C469" s="190">
        <v>2161</v>
      </c>
      <c r="D469" s="190" t="s">
        <v>408</v>
      </c>
      <c r="E469" s="191">
        <v>0</v>
      </c>
      <c r="F469" s="191">
        <v>0</v>
      </c>
      <c r="G469" s="191">
        <v>0</v>
      </c>
      <c r="H469" s="193">
        <v>4884</v>
      </c>
      <c r="I469" s="193">
        <v>4382.0200000000004</v>
      </c>
      <c r="J469" s="191">
        <v>0</v>
      </c>
      <c r="K469" s="191">
        <v>0</v>
      </c>
      <c r="L469" s="191">
        <v>0</v>
      </c>
      <c r="M469" s="193">
        <v>2737.31</v>
      </c>
      <c r="N469" s="193">
        <v>8491.81</v>
      </c>
      <c r="O469" s="191">
        <v>0</v>
      </c>
      <c r="P469" s="193">
        <v>10435.98</v>
      </c>
    </row>
    <row r="470" spans="1:16" x14ac:dyDescent="0.25">
      <c r="A470" s="190">
        <v>801010402</v>
      </c>
      <c r="B470" s="190" t="s">
        <v>423</v>
      </c>
      <c r="C470" s="190">
        <v>2161</v>
      </c>
      <c r="D470" s="190" t="s">
        <v>408</v>
      </c>
      <c r="E470" s="191">
        <v>0</v>
      </c>
      <c r="F470" s="191">
        <v>0</v>
      </c>
      <c r="G470" s="191">
        <v>0</v>
      </c>
      <c r="H470" s="193">
        <v>4884</v>
      </c>
      <c r="I470" s="193">
        <v>4382.0200000000004</v>
      </c>
      <c r="J470" s="191">
        <v>0</v>
      </c>
      <c r="K470" s="191">
        <v>0</v>
      </c>
      <c r="L470" s="191">
        <v>0</v>
      </c>
      <c r="M470" s="193">
        <v>2737.31</v>
      </c>
      <c r="N470" s="193">
        <v>8491.81</v>
      </c>
      <c r="O470" s="191">
        <v>0</v>
      </c>
      <c r="P470" s="193">
        <v>10435.98</v>
      </c>
    </row>
    <row r="471" spans="1:16" x14ac:dyDescent="0.25">
      <c r="A471" s="190">
        <v>801010402</v>
      </c>
      <c r="B471" s="190" t="s">
        <v>424</v>
      </c>
      <c r="C471" s="190">
        <v>2161</v>
      </c>
      <c r="D471" s="190" t="s">
        <v>408</v>
      </c>
      <c r="E471" s="191">
        <v>0</v>
      </c>
      <c r="F471" s="191">
        <v>0</v>
      </c>
      <c r="G471" s="191">
        <v>0</v>
      </c>
      <c r="H471" s="193">
        <v>4884</v>
      </c>
      <c r="I471" s="193">
        <v>4382.0200000000004</v>
      </c>
      <c r="J471" s="191">
        <v>0</v>
      </c>
      <c r="K471" s="191">
        <v>0</v>
      </c>
      <c r="L471" s="191">
        <v>0</v>
      </c>
      <c r="M471" s="193">
        <v>2737.31</v>
      </c>
      <c r="N471" s="193">
        <v>8491.81</v>
      </c>
      <c r="O471" s="191">
        <v>0</v>
      </c>
      <c r="P471" s="193">
        <v>10435.98</v>
      </c>
    </row>
    <row r="472" spans="1:16" x14ac:dyDescent="0.25">
      <c r="A472" s="190">
        <v>801010402</v>
      </c>
      <c r="B472" s="190" t="s">
        <v>425</v>
      </c>
      <c r="C472" s="190">
        <v>2161</v>
      </c>
      <c r="D472" s="190" t="s">
        <v>408</v>
      </c>
      <c r="E472" s="191">
        <v>0</v>
      </c>
      <c r="F472" s="191">
        <v>0</v>
      </c>
      <c r="G472" s="191">
        <v>0</v>
      </c>
      <c r="H472" s="193">
        <v>4884</v>
      </c>
      <c r="I472" s="193">
        <v>4382.0200000000004</v>
      </c>
      <c r="J472" s="191">
        <v>0</v>
      </c>
      <c r="K472" s="191">
        <v>0</v>
      </c>
      <c r="L472" s="191">
        <v>0</v>
      </c>
      <c r="M472" s="193">
        <v>2737.31</v>
      </c>
      <c r="N472" s="193">
        <v>8491.81</v>
      </c>
      <c r="O472" s="191">
        <v>0</v>
      </c>
      <c r="P472" s="193">
        <v>10435.98</v>
      </c>
    </row>
    <row r="473" spans="1:16" x14ac:dyDescent="0.25">
      <c r="A473" s="190">
        <v>801010402</v>
      </c>
      <c r="B473" s="190" t="s">
        <v>426</v>
      </c>
      <c r="C473" s="190">
        <v>2161</v>
      </c>
      <c r="D473" s="190" t="s">
        <v>408</v>
      </c>
      <c r="E473" s="191">
        <v>0</v>
      </c>
      <c r="F473" s="191">
        <v>0</v>
      </c>
      <c r="G473" s="191">
        <v>0</v>
      </c>
      <c r="H473" s="193">
        <v>4884</v>
      </c>
      <c r="I473" s="193">
        <v>4382.0200000000004</v>
      </c>
      <c r="J473" s="191">
        <v>0</v>
      </c>
      <c r="K473" s="191">
        <v>0</v>
      </c>
      <c r="L473" s="191">
        <v>0</v>
      </c>
      <c r="M473" s="193">
        <v>2737.31</v>
      </c>
      <c r="N473" s="193">
        <v>8491.81</v>
      </c>
      <c r="O473" s="191">
        <v>0</v>
      </c>
      <c r="P473" s="193">
        <v>10435.98</v>
      </c>
    </row>
    <row r="474" spans="1:16" x14ac:dyDescent="0.25">
      <c r="A474" s="190">
        <v>801010402</v>
      </c>
      <c r="B474" s="190" t="s">
        <v>427</v>
      </c>
      <c r="C474" s="190">
        <v>2161</v>
      </c>
      <c r="D474" s="190" t="s">
        <v>408</v>
      </c>
      <c r="E474" s="191">
        <v>0</v>
      </c>
      <c r="F474" s="191">
        <v>0</v>
      </c>
      <c r="G474" s="191">
        <v>0</v>
      </c>
      <c r="H474" s="193">
        <v>4884</v>
      </c>
      <c r="I474" s="193">
        <v>4382.0200000000004</v>
      </c>
      <c r="J474" s="191">
        <v>0</v>
      </c>
      <c r="K474" s="191">
        <v>0</v>
      </c>
      <c r="L474" s="191">
        <v>0</v>
      </c>
      <c r="M474" s="193">
        <v>2737.31</v>
      </c>
      <c r="N474" s="193">
        <v>8491.81</v>
      </c>
      <c r="O474" s="191">
        <v>0</v>
      </c>
      <c r="P474" s="193">
        <v>10435.98</v>
      </c>
    </row>
    <row r="475" spans="1:16" x14ac:dyDescent="0.25">
      <c r="A475" s="190">
        <v>801010402</v>
      </c>
      <c r="B475" s="190" t="s">
        <v>428</v>
      </c>
      <c r="C475" s="190">
        <v>2161</v>
      </c>
      <c r="D475" s="190" t="s">
        <v>408</v>
      </c>
      <c r="E475" s="191">
        <v>0</v>
      </c>
      <c r="F475" s="191">
        <v>0</v>
      </c>
      <c r="G475" s="191">
        <v>0</v>
      </c>
      <c r="H475" s="193">
        <v>4884</v>
      </c>
      <c r="I475" s="193">
        <v>4382.0200000000004</v>
      </c>
      <c r="J475" s="191">
        <v>0</v>
      </c>
      <c r="K475" s="191">
        <v>0</v>
      </c>
      <c r="L475" s="191">
        <v>0</v>
      </c>
      <c r="M475" s="193">
        <v>2737.31</v>
      </c>
      <c r="N475" s="193">
        <v>8491.81</v>
      </c>
      <c r="O475" s="191">
        <v>0</v>
      </c>
      <c r="P475" s="193">
        <v>10435.98</v>
      </c>
    </row>
    <row r="476" spans="1:16" x14ac:dyDescent="0.25">
      <c r="A476" s="190">
        <v>801010402</v>
      </c>
      <c r="B476" s="190" t="s">
        <v>429</v>
      </c>
      <c r="C476" s="190">
        <v>2161</v>
      </c>
      <c r="D476" s="190" t="s">
        <v>408</v>
      </c>
      <c r="E476" s="191">
        <v>0</v>
      </c>
      <c r="F476" s="191">
        <v>0</v>
      </c>
      <c r="G476" s="191">
        <v>0</v>
      </c>
      <c r="H476" s="193">
        <v>4884</v>
      </c>
      <c r="I476" s="193">
        <v>4382.0200000000004</v>
      </c>
      <c r="J476" s="191">
        <v>0</v>
      </c>
      <c r="K476" s="191">
        <v>0</v>
      </c>
      <c r="L476" s="191">
        <v>0</v>
      </c>
      <c r="M476" s="193">
        <v>2737.31</v>
      </c>
      <c r="N476" s="193">
        <v>8491.81</v>
      </c>
      <c r="O476" s="191">
        <v>0</v>
      </c>
      <c r="P476" s="193">
        <v>10435.98</v>
      </c>
    </row>
    <row r="477" spans="1:16" x14ac:dyDescent="0.25">
      <c r="A477" s="190">
        <v>801010402</v>
      </c>
      <c r="B477" s="190" t="s">
        <v>430</v>
      </c>
      <c r="C477" s="190">
        <v>2161</v>
      </c>
      <c r="D477" s="190" t="s">
        <v>408</v>
      </c>
      <c r="E477" s="191">
        <v>0</v>
      </c>
      <c r="F477" s="191">
        <v>0</v>
      </c>
      <c r="G477" s="191">
        <v>0</v>
      </c>
      <c r="H477" s="193">
        <v>4884</v>
      </c>
      <c r="I477" s="193">
        <v>4382.0200000000004</v>
      </c>
      <c r="J477" s="191">
        <v>0</v>
      </c>
      <c r="K477" s="191">
        <v>0</v>
      </c>
      <c r="L477" s="191">
        <v>0</v>
      </c>
      <c r="M477" s="193">
        <v>2737.31</v>
      </c>
      <c r="N477" s="193">
        <v>8491.81</v>
      </c>
      <c r="O477" s="191">
        <v>0</v>
      </c>
      <c r="P477" s="193">
        <v>10435.98</v>
      </c>
    </row>
    <row r="478" spans="1:16" x14ac:dyDescent="0.25">
      <c r="A478" s="190">
        <v>801010402</v>
      </c>
      <c r="B478" s="190" t="s">
        <v>431</v>
      </c>
      <c r="C478" s="190">
        <v>2161</v>
      </c>
      <c r="D478" s="190" t="s">
        <v>408</v>
      </c>
      <c r="E478" s="191">
        <v>0</v>
      </c>
      <c r="F478" s="191">
        <v>0</v>
      </c>
      <c r="G478" s="191">
        <v>0</v>
      </c>
      <c r="H478" s="193">
        <v>4884</v>
      </c>
      <c r="I478" s="193">
        <v>4382.0200000000004</v>
      </c>
      <c r="J478" s="191">
        <v>0</v>
      </c>
      <c r="K478" s="191">
        <v>0</v>
      </c>
      <c r="L478" s="191">
        <v>0</v>
      </c>
      <c r="M478" s="193">
        <v>2737.31</v>
      </c>
      <c r="N478" s="193">
        <v>8491.81</v>
      </c>
      <c r="O478" s="191">
        <v>0</v>
      </c>
      <c r="P478" s="193">
        <v>10435.98</v>
      </c>
    </row>
    <row r="479" spans="1:16" x14ac:dyDescent="0.25">
      <c r="A479" s="190">
        <v>801010402</v>
      </c>
      <c r="B479" s="190" t="s">
        <v>432</v>
      </c>
      <c r="C479" s="190">
        <v>2161</v>
      </c>
      <c r="D479" s="190" t="s">
        <v>408</v>
      </c>
      <c r="E479" s="191">
        <v>0</v>
      </c>
      <c r="F479" s="191">
        <v>0</v>
      </c>
      <c r="G479" s="191">
        <v>0</v>
      </c>
      <c r="H479" s="193">
        <v>4884</v>
      </c>
      <c r="I479" s="193">
        <v>4382.0200000000004</v>
      </c>
      <c r="J479" s="191">
        <v>0</v>
      </c>
      <c r="K479" s="191">
        <v>0</v>
      </c>
      <c r="L479" s="191">
        <v>0</v>
      </c>
      <c r="M479" s="193">
        <v>2737.31</v>
      </c>
      <c r="N479" s="193">
        <v>8491.81</v>
      </c>
      <c r="O479" s="191">
        <v>0</v>
      </c>
      <c r="P479" s="193">
        <v>10435.98</v>
      </c>
    </row>
    <row r="480" spans="1:16" x14ac:dyDescent="0.25">
      <c r="A480" s="190">
        <v>801010402</v>
      </c>
      <c r="B480" s="190" t="s">
        <v>433</v>
      </c>
      <c r="C480" s="190">
        <v>2161</v>
      </c>
      <c r="D480" s="190" t="s">
        <v>408</v>
      </c>
      <c r="E480" s="191">
        <v>0</v>
      </c>
      <c r="F480" s="191">
        <v>268</v>
      </c>
      <c r="G480" s="191">
        <v>0</v>
      </c>
      <c r="H480" s="193">
        <v>4884</v>
      </c>
      <c r="I480" s="193">
        <v>4382.0200000000004</v>
      </c>
      <c r="J480" s="191">
        <v>0</v>
      </c>
      <c r="K480" s="191">
        <v>0</v>
      </c>
      <c r="L480" s="191">
        <v>0</v>
      </c>
      <c r="M480" s="193">
        <v>2737.31</v>
      </c>
      <c r="N480" s="193">
        <v>8491.81</v>
      </c>
      <c r="O480" s="191">
        <v>0</v>
      </c>
      <c r="P480" s="193">
        <v>10435.98</v>
      </c>
    </row>
    <row r="481" spans="1:16" x14ac:dyDescent="0.25">
      <c r="A481" s="190">
        <v>801010402</v>
      </c>
      <c r="B481" s="190" t="s">
        <v>434</v>
      </c>
      <c r="C481" s="190">
        <v>2161</v>
      </c>
      <c r="D481" s="190" t="s">
        <v>408</v>
      </c>
      <c r="E481" s="191">
        <v>0</v>
      </c>
      <c r="F481" s="191">
        <v>0</v>
      </c>
      <c r="G481" s="191">
        <v>0</v>
      </c>
      <c r="H481" s="193">
        <v>4884</v>
      </c>
      <c r="I481" s="193">
        <v>4382.0200000000004</v>
      </c>
      <c r="J481" s="191">
        <v>0</v>
      </c>
      <c r="K481" s="191">
        <v>0</v>
      </c>
      <c r="L481" s="191">
        <v>0</v>
      </c>
      <c r="M481" s="193">
        <v>2737.31</v>
      </c>
      <c r="N481" s="193">
        <v>8491.81</v>
      </c>
      <c r="O481" s="191">
        <v>0</v>
      </c>
      <c r="P481" s="193">
        <v>10435.98</v>
      </c>
    </row>
    <row r="482" spans="1:16" x14ac:dyDescent="0.25">
      <c r="A482" s="190">
        <v>801010402</v>
      </c>
      <c r="B482" s="190" t="s">
        <v>435</v>
      </c>
      <c r="C482" s="190">
        <v>2161</v>
      </c>
      <c r="D482" s="190" t="s">
        <v>408</v>
      </c>
      <c r="E482" s="191">
        <v>0</v>
      </c>
      <c r="F482" s="191">
        <v>0</v>
      </c>
      <c r="G482" s="191">
        <v>0</v>
      </c>
      <c r="H482" s="193">
        <v>4884</v>
      </c>
      <c r="I482" s="193">
        <v>4382.0200000000004</v>
      </c>
      <c r="J482" s="191">
        <v>0</v>
      </c>
      <c r="K482" s="191">
        <v>0</v>
      </c>
      <c r="L482" s="191">
        <v>0</v>
      </c>
      <c r="M482" s="193">
        <v>2737.31</v>
      </c>
      <c r="N482" s="193">
        <v>8491.81</v>
      </c>
      <c r="O482" s="191">
        <v>0</v>
      </c>
      <c r="P482" s="193">
        <v>10435.98</v>
      </c>
    </row>
    <row r="483" spans="1:16" x14ac:dyDescent="0.25">
      <c r="A483" s="190">
        <v>801010402</v>
      </c>
      <c r="B483" s="190" t="s">
        <v>436</v>
      </c>
      <c r="C483" s="190">
        <v>2161</v>
      </c>
      <c r="D483" s="190" t="s">
        <v>408</v>
      </c>
      <c r="E483" s="191">
        <v>0</v>
      </c>
      <c r="F483" s="191">
        <v>0</v>
      </c>
      <c r="G483" s="191">
        <v>0</v>
      </c>
      <c r="H483" s="193">
        <v>4884</v>
      </c>
      <c r="I483" s="193">
        <v>4382.0200000000004</v>
      </c>
      <c r="J483" s="191">
        <v>0</v>
      </c>
      <c r="K483" s="191">
        <v>0</v>
      </c>
      <c r="L483" s="191">
        <v>0</v>
      </c>
      <c r="M483" s="193">
        <v>2737.31</v>
      </c>
      <c r="N483" s="193">
        <v>8491.81</v>
      </c>
      <c r="O483" s="191">
        <v>0</v>
      </c>
      <c r="P483" s="193">
        <v>10435.98</v>
      </c>
    </row>
    <row r="484" spans="1:16" x14ac:dyDescent="0.25">
      <c r="A484" s="190">
        <v>801010402</v>
      </c>
      <c r="B484" s="190" t="s">
        <v>437</v>
      </c>
      <c r="C484" s="190">
        <v>2161</v>
      </c>
      <c r="D484" s="190" t="s">
        <v>408</v>
      </c>
      <c r="E484" s="191">
        <v>0</v>
      </c>
      <c r="F484" s="191">
        <v>0</v>
      </c>
      <c r="G484" s="191">
        <v>0</v>
      </c>
      <c r="H484" s="193">
        <v>4884</v>
      </c>
      <c r="I484" s="193">
        <v>4382.0200000000004</v>
      </c>
      <c r="J484" s="191">
        <v>0</v>
      </c>
      <c r="K484" s="191">
        <v>0</v>
      </c>
      <c r="L484" s="191">
        <v>0</v>
      </c>
      <c r="M484" s="193">
        <v>2737.31</v>
      </c>
      <c r="N484" s="193">
        <v>8491.81</v>
      </c>
      <c r="O484" s="191">
        <v>0</v>
      </c>
      <c r="P484" s="193">
        <v>10435.98</v>
      </c>
    </row>
    <row r="485" spans="1:16" x14ac:dyDescent="0.25">
      <c r="A485" s="190">
        <v>801010402</v>
      </c>
      <c r="B485" s="190" t="s">
        <v>407</v>
      </c>
      <c r="C485" s="190">
        <v>2181</v>
      </c>
      <c r="D485" s="190" t="s">
        <v>408</v>
      </c>
      <c r="E485" s="191">
        <v>0</v>
      </c>
      <c r="F485" s="191">
        <v>625.24</v>
      </c>
      <c r="G485" s="191">
        <v>0</v>
      </c>
      <c r="H485" s="191">
        <v>0</v>
      </c>
      <c r="I485" s="191">
        <v>0</v>
      </c>
      <c r="J485" s="191">
        <v>0</v>
      </c>
      <c r="K485" s="191">
        <v>0</v>
      </c>
      <c r="L485" s="191">
        <v>0</v>
      </c>
      <c r="M485" s="191">
        <v>0</v>
      </c>
      <c r="N485" s="191">
        <v>0</v>
      </c>
      <c r="O485" s="191">
        <v>0</v>
      </c>
      <c r="P485" s="191">
        <v>0</v>
      </c>
    </row>
    <row r="486" spans="1:16" x14ac:dyDescent="0.25">
      <c r="A486" s="190">
        <v>801010402</v>
      </c>
      <c r="B486" s="190" t="s">
        <v>407</v>
      </c>
      <c r="C486" s="190">
        <v>2211</v>
      </c>
      <c r="D486" s="190" t="s">
        <v>408</v>
      </c>
      <c r="E486" s="191">
        <v>0</v>
      </c>
      <c r="F486" s="191">
        <v>0</v>
      </c>
      <c r="G486" s="191">
        <v>0</v>
      </c>
      <c r="H486" s="191">
        <v>244.99</v>
      </c>
      <c r="I486" s="191">
        <v>0</v>
      </c>
      <c r="J486" s="191">
        <v>0</v>
      </c>
      <c r="K486" s="191">
        <v>0</v>
      </c>
      <c r="L486" s="191">
        <v>0</v>
      </c>
      <c r="M486" s="191">
        <v>0</v>
      </c>
      <c r="N486" s="191">
        <v>0</v>
      </c>
      <c r="O486" s="191">
        <v>0</v>
      </c>
      <c r="P486" s="191">
        <v>0</v>
      </c>
    </row>
    <row r="487" spans="1:16" x14ac:dyDescent="0.25">
      <c r="A487" s="190">
        <v>801010402</v>
      </c>
      <c r="B487" s="190" t="s">
        <v>419</v>
      </c>
      <c r="C487" s="190">
        <v>2211</v>
      </c>
      <c r="D487" s="190" t="s">
        <v>408</v>
      </c>
      <c r="E487" s="191">
        <v>0</v>
      </c>
      <c r="F487" s="191">
        <v>0</v>
      </c>
      <c r="G487" s="191">
        <v>0</v>
      </c>
      <c r="H487" s="193">
        <v>1435</v>
      </c>
      <c r="I487" s="191">
        <v>0</v>
      </c>
      <c r="J487" s="191">
        <v>0</v>
      </c>
      <c r="K487" s="191">
        <v>0</v>
      </c>
      <c r="L487" s="191">
        <v>0</v>
      </c>
      <c r="M487" s="191">
        <v>0</v>
      </c>
      <c r="N487" s="191">
        <v>0</v>
      </c>
      <c r="O487" s="191">
        <v>0</v>
      </c>
      <c r="P487" s="191">
        <v>0</v>
      </c>
    </row>
    <row r="488" spans="1:16" x14ac:dyDescent="0.25">
      <c r="A488" s="190">
        <v>801010402</v>
      </c>
      <c r="B488" s="190" t="s">
        <v>420</v>
      </c>
      <c r="C488" s="190">
        <v>2211</v>
      </c>
      <c r="D488" s="190" t="s">
        <v>408</v>
      </c>
      <c r="E488" s="191">
        <v>0</v>
      </c>
      <c r="F488" s="191">
        <v>0</v>
      </c>
      <c r="G488" s="191">
        <v>0</v>
      </c>
      <c r="H488" s="193">
        <v>1435</v>
      </c>
      <c r="I488" s="191">
        <v>0</v>
      </c>
      <c r="J488" s="191">
        <v>0</v>
      </c>
      <c r="K488" s="191">
        <v>0</v>
      </c>
      <c r="L488" s="191">
        <v>0</v>
      </c>
      <c r="M488" s="191">
        <v>0</v>
      </c>
      <c r="N488" s="191">
        <v>0</v>
      </c>
      <c r="O488" s="191">
        <v>0</v>
      </c>
      <c r="P488" s="191">
        <v>0</v>
      </c>
    </row>
    <row r="489" spans="1:16" x14ac:dyDescent="0.25">
      <c r="A489" s="190">
        <v>801010402</v>
      </c>
      <c r="B489" s="190" t="s">
        <v>421</v>
      </c>
      <c r="C489" s="190">
        <v>2211</v>
      </c>
      <c r="D489" s="190" t="s">
        <v>408</v>
      </c>
      <c r="E489" s="191">
        <v>0</v>
      </c>
      <c r="F489" s="191">
        <v>0</v>
      </c>
      <c r="G489" s="191">
        <v>0</v>
      </c>
      <c r="H489" s="191">
        <v>315</v>
      </c>
      <c r="I489" s="191">
        <v>0</v>
      </c>
      <c r="J489" s="191">
        <v>0</v>
      </c>
      <c r="K489" s="191">
        <v>0</v>
      </c>
      <c r="L489" s="191">
        <v>0</v>
      </c>
      <c r="M489" s="191">
        <v>0</v>
      </c>
      <c r="N489" s="191">
        <v>0</v>
      </c>
      <c r="O489" s="191">
        <v>0</v>
      </c>
      <c r="P489" s="191">
        <v>0</v>
      </c>
    </row>
    <row r="490" spans="1:16" x14ac:dyDescent="0.25">
      <c r="A490" s="190">
        <v>801010402</v>
      </c>
      <c r="B490" s="190" t="s">
        <v>422</v>
      </c>
      <c r="C490" s="190">
        <v>2211</v>
      </c>
      <c r="D490" s="190" t="s">
        <v>408</v>
      </c>
      <c r="E490" s="191">
        <v>0</v>
      </c>
      <c r="F490" s="191">
        <v>0</v>
      </c>
      <c r="G490" s="191">
        <v>0</v>
      </c>
      <c r="H490" s="193">
        <v>1435</v>
      </c>
      <c r="I490" s="191">
        <v>0</v>
      </c>
      <c r="J490" s="191">
        <v>0</v>
      </c>
      <c r="K490" s="191">
        <v>0</v>
      </c>
      <c r="L490" s="191">
        <v>0</v>
      </c>
      <c r="M490" s="191">
        <v>0</v>
      </c>
      <c r="N490" s="191">
        <v>0</v>
      </c>
      <c r="O490" s="191">
        <v>0</v>
      </c>
      <c r="P490" s="191">
        <v>0</v>
      </c>
    </row>
    <row r="491" spans="1:16" x14ac:dyDescent="0.25">
      <c r="A491" s="190">
        <v>801010402</v>
      </c>
      <c r="B491" s="190" t="s">
        <v>423</v>
      </c>
      <c r="C491" s="190">
        <v>2211</v>
      </c>
      <c r="D491" s="190" t="s">
        <v>408</v>
      </c>
      <c r="E491" s="191">
        <v>0</v>
      </c>
      <c r="F491" s="191">
        <v>0</v>
      </c>
      <c r="G491" s="191">
        <v>0</v>
      </c>
      <c r="H491" s="191">
        <v>315</v>
      </c>
      <c r="I491" s="191">
        <v>0</v>
      </c>
      <c r="J491" s="191">
        <v>0</v>
      </c>
      <c r="K491" s="191">
        <v>0</v>
      </c>
      <c r="L491" s="191">
        <v>0</v>
      </c>
      <c r="M491" s="191">
        <v>0</v>
      </c>
      <c r="N491" s="191">
        <v>0</v>
      </c>
      <c r="O491" s="191">
        <v>0</v>
      </c>
      <c r="P491" s="191">
        <v>0</v>
      </c>
    </row>
    <row r="492" spans="1:16" x14ac:dyDescent="0.25">
      <c r="A492" s="190">
        <v>801010402</v>
      </c>
      <c r="B492" s="190" t="s">
        <v>426</v>
      </c>
      <c r="C492" s="190">
        <v>2211</v>
      </c>
      <c r="D492" s="190" t="s">
        <v>408</v>
      </c>
      <c r="E492" s="191">
        <v>0</v>
      </c>
      <c r="F492" s="191">
        <v>0</v>
      </c>
      <c r="G492" s="191">
        <v>0</v>
      </c>
      <c r="H492" s="193">
        <v>1435</v>
      </c>
      <c r="I492" s="191">
        <v>0</v>
      </c>
      <c r="J492" s="191">
        <v>0</v>
      </c>
      <c r="K492" s="191">
        <v>0</v>
      </c>
      <c r="L492" s="191">
        <v>0</v>
      </c>
      <c r="M492" s="191">
        <v>0</v>
      </c>
      <c r="N492" s="191">
        <v>0</v>
      </c>
      <c r="O492" s="191">
        <v>0</v>
      </c>
      <c r="P492" s="191">
        <v>0</v>
      </c>
    </row>
    <row r="493" spans="1:16" x14ac:dyDescent="0.25">
      <c r="A493" s="190">
        <v>801010402</v>
      </c>
      <c r="B493" s="190" t="s">
        <v>427</v>
      </c>
      <c r="C493" s="190">
        <v>2211</v>
      </c>
      <c r="D493" s="190" t="s">
        <v>408</v>
      </c>
      <c r="E493" s="191">
        <v>0</v>
      </c>
      <c r="F493" s="191">
        <v>0</v>
      </c>
      <c r="G493" s="191">
        <v>0</v>
      </c>
      <c r="H493" s="193">
        <v>1400</v>
      </c>
      <c r="I493" s="191">
        <v>0</v>
      </c>
      <c r="J493" s="191">
        <v>0</v>
      </c>
      <c r="K493" s="191">
        <v>0</v>
      </c>
      <c r="L493" s="191">
        <v>0</v>
      </c>
      <c r="M493" s="191">
        <v>0</v>
      </c>
      <c r="N493" s="191">
        <v>0</v>
      </c>
      <c r="O493" s="191">
        <v>0</v>
      </c>
      <c r="P493" s="191">
        <v>0</v>
      </c>
    </row>
    <row r="494" spans="1:16" x14ac:dyDescent="0.25">
      <c r="A494" s="190">
        <v>801010402</v>
      </c>
      <c r="B494" s="190" t="s">
        <v>429</v>
      </c>
      <c r="C494" s="190">
        <v>2211</v>
      </c>
      <c r="D494" s="190" t="s">
        <v>408</v>
      </c>
      <c r="E494" s="191">
        <v>0</v>
      </c>
      <c r="F494" s="191">
        <v>0</v>
      </c>
      <c r="G494" s="191">
        <v>0</v>
      </c>
      <c r="H494" s="191">
        <v>315</v>
      </c>
      <c r="I494" s="191">
        <v>0</v>
      </c>
      <c r="J494" s="191">
        <v>0</v>
      </c>
      <c r="K494" s="191">
        <v>0</v>
      </c>
      <c r="L494" s="191">
        <v>0</v>
      </c>
      <c r="M494" s="191">
        <v>0</v>
      </c>
      <c r="N494" s="191">
        <v>0</v>
      </c>
      <c r="O494" s="191">
        <v>0</v>
      </c>
      <c r="P494" s="191">
        <v>0</v>
      </c>
    </row>
    <row r="495" spans="1:16" x14ac:dyDescent="0.25">
      <c r="A495" s="190">
        <v>801010402</v>
      </c>
      <c r="B495" s="190" t="s">
        <v>430</v>
      </c>
      <c r="C495" s="190">
        <v>2211</v>
      </c>
      <c r="D495" s="190" t="s">
        <v>408</v>
      </c>
      <c r="E495" s="191">
        <v>0</v>
      </c>
      <c r="F495" s="191">
        <v>0</v>
      </c>
      <c r="G495" s="191">
        <v>0</v>
      </c>
      <c r="H495" s="193">
        <v>1085</v>
      </c>
      <c r="I495" s="191">
        <v>0</v>
      </c>
      <c r="J495" s="191">
        <v>0</v>
      </c>
      <c r="K495" s="191">
        <v>0</v>
      </c>
      <c r="L495" s="191">
        <v>0</v>
      </c>
      <c r="M495" s="191">
        <v>0</v>
      </c>
      <c r="N495" s="191">
        <v>0</v>
      </c>
      <c r="O495" s="191">
        <v>0</v>
      </c>
      <c r="P495" s="191">
        <v>0</v>
      </c>
    </row>
    <row r="496" spans="1:16" x14ac:dyDescent="0.25">
      <c r="A496" s="190">
        <v>801010402</v>
      </c>
      <c r="B496" s="190" t="s">
        <v>433</v>
      </c>
      <c r="C496" s="190">
        <v>2211</v>
      </c>
      <c r="D496" s="190" t="s">
        <v>408</v>
      </c>
      <c r="E496" s="191">
        <v>0</v>
      </c>
      <c r="F496" s="191">
        <v>0</v>
      </c>
      <c r="G496" s="191">
        <v>0</v>
      </c>
      <c r="H496" s="191">
        <v>455</v>
      </c>
      <c r="I496" s="191">
        <v>0</v>
      </c>
      <c r="J496" s="191">
        <v>0</v>
      </c>
      <c r="K496" s="191">
        <v>0</v>
      </c>
      <c r="L496" s="191">
        <v>0</v>
      </c>
      <c r="M496" s="191">
        <v>0</v>
      </c>
      <c r="N496" s="191">
        <v>0</v>
      </c>
      <c r="O496" s="191">
        <v>0</v>
      </c>
      <c r="P496" s="191">
        <v>0</v>
      </c>
    </row>
    <row r="497" spans="1:16" x14ac:dyDescent="0.25">
      <c r="A497" s="190">
        <v>801010402</v>
      </c>
      <c r="B497" s="190" t="s">
        <v>435</v>
      </c>
      <c r="C497" s="190">
        <v>2211</v>
      </c>
      <c r="D497" s="190" t="s">
        <v>408</v>
      </c>
      <c r="E497" s="191">
        <v>0</v>
      </c>
      <c r="F497" s="191">
        <v>0</v>
      </c>
      <c r="G497" s="191">
        <v>0</v>
      </c>
      <c r="H497" s="191">
        <v>66.7</v>
      </c>
      <c r="I497" s="191">
        <v>0</v>
      </c>
      <c r="J497" s="191">
        <v>0</v>
      </c>
      <c r="K497" s="191">
        <v>0</v>
      </c>
      <c r="L497" s="191">
        <v>0</v>
      </c>
      <c r="M497" s="191">
        <v>0</v>
      </c>
      <c r="N497" s="191">
        <v>0</v>
      </c>
      <c r="O497" s="191">
        <v>0</v>
      </c>
      <c r="P497" s="191">
        <v>0</v>
      </c>
    </row>
    <row r="498" spans="1:16" x14ac:dyDescent="0.25">
      <c r="A498" s="190">
        <v>801010402</v>
      </c>
      <c r="B498" s="190" t="s">
        <v>437</v>
      </c>
      <c r="C498" s="190">
        <v>2231</v>
      </c>
      <c r="D498" s="190" t="s">
        <v>408</v>
      </c>
      <c r="E498" s="191">
        <v>0</v>
      </c>
      <c r="F498" s="191">
        <v>0</v>
      </c>
      <c r="G498" s="191">
        <v>0</v>
      </c>
      <c r="H498" s="191">
        <v>0</v>
      </c>
      <c r="I498" s="191">
        <v>0</v>
      </c>
      <c r="J498" s="191">
        <v>0</v>
      </c>
      <c r="K498" s="191">
        <v>0</v>
      </c>
      <c r="L498" s="191">
        <v>0</v>
      </c>
      <c r="M498" s="191">
        <v>0</v>
      </c>
      <c r="N498" s="191">
        <v>0</v>
      </c>
      <c r="O498" s="191">
        <v>0</v>
      </c>
      <c r="P498" s="193">
        <v>2520.33</v>
      </c>
    </row>
    <row r="499" spans="1:16" x14ac:dyDescent="0.25">
      <c r="A499" s="190">
        <v>801010402</v>
      </c>
      <c r="B499" s="190" t="s">
        <v>414</v>
      </c>
      <c r="C499" s="190">
        <v>2421</v>
      </c>
      <c r="D499" s="190" t="s">
        <v>408</v>
      </c>
      <c r="E499" s="191">
        <v>0</v>
      </c>
      <c r="F499" s="191">
        <v>0</v>
      </c>
      <c r="G499" s="191">
        <v>0</v>
      </c>
      <c r="H499" s="191">
        <v>0</v>
      </c>
      <c r="I499" s="191">
        <v>0</v>
      </c>
      <c r="J499" s="191">
        <v>0</v>
      </c>
      <c r="K499" s="191">
        <v>0</v>
      </c>
      <c r="L499" s="193">
        <v>1334</v>
      </c>
      <c r="M499" s="191">
        <v>0</v>
      </c>
      <c r="N499" s="191">
        <v>0</v>
      </c>
      <c r="O499" s="191">
        <v>0</v>
      </c>
      <c r="P499" s="191">
        <v>0</v>
      </c>
    </row>
    <row r="500" spans="1:16" x14ac:dyDescent="0.25">
      <c r="A500" s="190">
        <v>801010402</v>
      </c>
      <c r="B500" s="190" t="s">
        <v>433</v>
      </c>
      <c r="C500" s="190">
        <v>2451</v>
      </c>
      <c r="D500" s="190" t="s">
        <v>408</v>
      </c>
      <c r="E500" s="191">
        <v>0</v>
      </c>
      <c r="F500" s="191">
        <v>0</v>
      </c>
      <c r="G500" s="191">
        <v>0</v>
      </c>
      <c r="H500" s="191">
        <v>0</v>
      </c>
      <c r="I500" s="191">
        <v>0</v>
      </c>
      <c r="J500" s="193">
        <v>1949</v>
      </c>
      <c r="K500" s="191">
        <v>0</v>
      </c>
      <c r="L500" s="191">
        <v>0</v>
      </c>
      <c r="M500" s="191">
        <v>0</v>
      </c>
      <c r="N500" s="191">
        <v>0</v>
      </c>
      <c r="O500" s="191">
        <v>0</v>
      </c>
      <c r="P500" s="191">
        <v>0</v>
      </c>
    </row>
    <row r="501" spans="1:16" x14ac:dyDescent="0.25">
      <c r="A501" s="190">
        <v>801010402</v>
      </c>
      <c r="B501" s="190" t="s">
        <v>407</v>
      </c>
      <c r="C501" s="190">
        <v>2461</v>
      </c>
      <c r="D501" s="190" t="s">
        <v>408</v>
      </c>
      <c r="E501" s="191">
        <v>0</v>
      </c>
      <c r="F501" s="191">
        <v>0</v>
      </c>
      <c r="G501" s="193">
        <v>15513.33</v>
      </c>
      <c r="H501" s="191">
        <v>0</v>
      </c>
      <c r="I501" s="191">
        <v>0</v>
      </c>
      <c r="J501" s="191">
        <v>0</v>
      </c>
      <c r="K501" s="191">
        <v>0</v>
      </c>
      <c r="L501" s="193">
        <v>2829.68</v>
      </c>
      <c r="M501" s="191">
        <v>0</v>
      </c>
      <c r="N501" s="193">
        <v>21810.03</v>
      </c>
      <c r="O501" s="191">
        <v>0</v>
      </c>
      <c r="P501" s="193">
        <v>2711.75</v>
      </c>
    </row>
    <row r="502" spans="1:16" x14ac:dyDescent="0.25">
      <c r="A502" s="190">
        <v>801010402</v>
      </c>
      <c r="B502" s="190" t="s">
        <v>410</v>
      </c>
      <c r="C502" s="190">
        <v>2461</v>
      </c>
      <c r="D502" s="190" t="s">
        <v>408</v>
      </c>
      <c r="E502" s="191">
        <v>0</v>
      </c>
      <c r="F502" s="191">
        <v>0</v>
      </c>
      <c r="G502" s="191">
        <v>0</v>
      </c>
      <c r="H502" s="191">
        <v>0</v>
      </c>
      <c r="I502" s="191">
        <v>0</v>
      </c>
      <c r="J502" s="191">
        <v>0</v>
      </c>
      <c r="K502" s="191">
        <v>0</v>
      </c>
      <c r="L502" s="191">
        <v>406</v>
      </c>
      <c r="M502" s="191">
        <v>0</v>
      </c>
      <c r="N502" s="191">
        <v>0</v>
      </c>
      <c r="O502" s="191">
        <v>0</v>
      </c>
      <c r="P502" s="191">
        <v>0</v>
      </c>
    </row>
    <row r="503" spans="1:16" x14ac:dyDescent="0.25">
      <c r="A503" s="190">
        <v>801010402</v>
      </c>
      <c r="B503" s="190" t="s">
        <v>411</v>
      </c>
      <c r="C503" s="190">
        <v>2461</v>
      </c>
      <c r="D503" s="190" t="s">
        <v>408</v>
      </c>
      <c r="E503" s="191">
        <v>0</v>
      </c>
      <c r="F503" s="191">
        <v>0</v>
      </c>
      <c r="G503" s="191">
        <v>0</v>
      </c>
      <c r="H503" s="191">
        <v>0</v>
      </c>
      <c r="I503" s="191">
        <v>0</v>
      </c>
      <c r="J503" s="191">
        <v>0</v>
      </c>
      <c r="K503" s="191">
        <v>0</v>
      </c>
      <c r="L503" s="191">
        <v>0</v>
      </c>
      <c r="M503" s="191">
        <v>0</v>
      </c>
      <c r="N503" s="191">
        <v>0</v>
      </c>
      <c r="O503" s="193">
        <v>4640</v>
      </c>
      <c r="P503" s="191">
        <v>0</v>
      </c>
    </row>
    <row r="504" spans="1:16" x14ac:dyDescent="0.25">
      <c r="A504" s="190">
        <v>801010402</v>
      </c>
      <c r="B504" s="190" t="s">
        <v>412</v>
      </c>
      <c r="C504" s="190">
        <v>2461</v>
      </c>
      <c r="D504" s="190" t="s">
        <v>408</v>
      </c>
      <c r="E504" s="193">
        <v>6728</v>
      </c>
      <c r="F504" s="191">
        <v>0</v>
      </c>
      <c r="G504" s="191">
        <v>0</v>
      </c>
      <c r="H504" s="191">
        <v>0</v>
      </c>
      <c r="I504" s="191">
        <v>0</v>
      </c>
      <c r="J504" s="191">
        <v>0</v>
      </c>
      <c r="K504" s="191">
        <v>0</v>
      </c>
      <c r="L504" s="191">
        <v>0</v>
      </c>
      <c r="M504" s="191">
        <v>0</v>
      </c>
      <c r="N504" s="191">
        <v>0</v>
      </c>
      <c r="O504" s="191">
        <v>0</v>
      </c>
      <c r="P504" s="191">
        <v>0</v>
      </c>
    </row>
    <row r="505" spans="1:16" x14ac:dyDescent="0.25">
      <c r="A505" s="190">
        <v>801010402</v>
      </c>
      <c r="B505" s="190" t="s">
        <v>413</v>
      </c>
      <c r="C505" s="190">
        <v>2461</v>
      </c>
      <c r="D505" s="190" t="s">
        <v>408</v>
      </c>
      <c r="E505" s="191">
        <v>0</v>
      </c>
      <c r="F505" s="191">
        <v>0</v>
      </c>
      <c r="G505" s="191">
        <v>0</v>
      </c>
      <c r="H505" s="191">
        <v>0</v>
      </c>
      <c r="I505" s="191">
        <v>0</v>
      </c>
      <c r="J505" s="191">
        <v>988.26</v>
      </c>
      <c r="K505" s="191">
        <v>0</v>
      </c>
      <c r="L505" s="193">
        <v>5184.33</v>
      </c>
      <c r="M505" s="191">
        <v>0</v>
      </c>
      <c r="N505" s="191">
        <v>0</v>
      </c>
      <c r="O505" s="191">
        <v>0</v>
      </c>
      <c r="P505" s="191">
        <v>0</v>
      </c>
    </row>
    <row r="506" spans="1:16" x14ac:dyDescent="0.25">
      <c r="A506" s="190">
        <v>801010402</v>
      </c>
      <c r="B506" s="190" t="s">
        <v>417</v>
      </c>
      <c r="C506" s="190">
        <v>2461</v>
      </c>
      <c r="D506" s="190" t="s">
        <v>408</v>
      </c>
      <c r="E506" s="191">
        <v>0</v>
      </c>
      <c r="F506" s="191">
        <v>0</v>
      </c>
      <c r="G506" s="191">
        <v>0</v>
      </c>
      <c r="H506" s="191">
        <v>0</v>
      </c>
      <c r="I506" s="191">
        <v>0</v>
      </c>
      <c r="J506" s="191">
        <v>0</v>
      </c>
      <c r="K506" s="191">
        <v>0</v>
      </c>
      <c r="L506" s="193">
        <v>2733.99</v>
      </c>
      <c r="M506" s="191">
        <v>0</v>
      </c>
      <c r="N506" s="191">
        <v>0</v>
      </c>
      <c r="O506" s="191">
        <v>0</v>
      </c>
      <c r="P506" s="191">
        <v>0</v>
      </c>
    </row>
    <row r="507" spans="1:16" x14ac:dyDescent="0.25">
      <c r="A507" s="190">
        <v>801010402</v>
      </c>
      <c r="B507" s="190" t="s">
        <v>419</v>
      </c>
      <c r="C507" s="190">
        <v>2461</v>
      </c>
      <c r="D507" s="190" t="s">
        <v>408</v>
      </c>
      <c r="E507" s="191">
        <v>0</v>
      </c>
      <c r="F507" s="191">
        <v>0</v>
      </c>
      <c r="G507" s="191">
        <v>0</v>
      </c>
      <c r="H507" s="193">
        <v>9505.2999999999993</v>
      </c>
      <c r="I507" s="191">
        <v>0</v>
      </c>
      <c r="J507" s="191">
        <v>0</v>
      </c>
      <c r="K507" s="191">
        <v>0</v>
      </c>
      <c r="L507" s="193">
        <v>2724.15</v>
      </c>
      <c r="M507" s="191">
        <v>0</v>
      </c>
      <c r="N507" s="191">
        <v>0</v>
      </c>
      <c r="O507" s="191">
        <v>0</v>
      </c>
      <c r="P507" s="191">
        <v>0</v>
      </c>
    </row>
    <row r="508" spans="1:16" x14ac:dyDescent="0.25">
      <c r="A508" s="190">
        <v>801010402</v>
      </c>
      <c r="B508" s="190" t="s">
        <v>421</v>
      </c>
      <c r="C508" s="190">
        <v>2461</v>
      </c>
      <c r="D508" s="190" t="s">
        <v>408</v>
      </c>
      <c r="E508" s="191">
        <v>0</v>
      </c>
      <c r="F508" s="191">
        <v>0</v>
      </c>
      <c r="G508" s="191">
        <v>0</v>
      </c>
      <c r="H508" s="191">
        <v>0</v>
      </c>
      <c r="I508" s="191">
        <v>0</v>
      </c>
      <c r="J508" s="193">
        <v>5660.8</v>
      </c>
      <c r="K508" s="191">
        <v>0</v>
      </c>
      <c r="L508" s="191">
        <v>0</v>
      </c>
      <c r="M508" s="191">
        <v>0</v>
      </c>
      <c r="N508" s="191">
        <v>0</v>
      </c>
      <c r="O508" s="191">
        <v>0</v>
      </c>
      <c r="P508" s="191">
        <v>0</v>
      </c>
    </row>
    <row r="509" spans="1:16" x14ac:dyDescent="0.25">
      <c r="A509" s="190">
        <v>801010402</v>
      </c>
      <c r="B509" s="190" t="s">
        <v>422</v>
      </c>
      <c r="C509" s="190">
        <v>2461</v>
      </c>
      <c r="D509" s="190" t="s">
        <v>408</v>
      </c>
      <c r="E509" s="191">
        <v>0</v>
      </c>
      <c r="F509" s="191">
        <v>0</v>
      </c>
      <c r="G509" s="191">
        <v>0</v>
      </c>
      <c r="H509" s="193">
        <v>2272</v>
      </c>
      <c r="I509" s="191">
        <v>0</v>
      </c>
      <c r="J509" s="191">
        <v>0</v>
      </c>
      <c r="K509" s="191">
        <v>0</v>
      </c>
      <c r="L509" s="191">
        <v>0</v>
      </c>
      <c r="M509" s="191">
        <v>0</v>
      </c>
      <c r="N509" s="191">
        <v>0</v>
      </c>
      <c r="O509" s="191">
        <v>0</v>
      </c>
      <c r="P509" s="191">
        <v>0</v>
      </c>
    </row>
    <row r="510" spans="1:16" x14ac:dyDescent="0.25">
      <c r="A510" s="190">
        <v>801010402</v>
      </c>
      <c r="B510" s="190" t="s">
        <v>423</v>
      </c>
      <c r="C510" s="190">
        <v>2461</v>
      </c>
      <c r="D510" s="190" t="s">
        <v>408</v>
      </c>
      <c r="E510" s="191">
        <v>0</v>
      </c>
      <c r="F510" s="191">
        <v>0</v>
      </c>
      <c r="G510" s="191">
        <v>0</v>
      </c>
      <c r="H510" s="191">
        <v>0</v>
      </c>
      <c r="I510" s="191">
        <v>0</v>
      </c>
      <c r="J510" s="191">
        <v>0</v>
      </c>
      <c r="K510" s="191">
        <v>0</v>
      </c>
      <c r="L510" s="191">
        <v>0</v>
      </c>
      <c r="M510" s="191">
        <v>0</v>
      </c>
      <c r="N510" s="191">
        <v>0</v>
      </c>
      <c r="O510" s="191">
        <v>0</v>
      </c>
      <c r="P510" s="193">
        <v>1205.8499999999999</v>
      </c>
    </row>
    <row r="511" spans="1:16" x14ac:dyDescent="0.25">
      <c r="A511" s="190">
        <v>801010402</v>
      </c>
      <c r="B511" s="190" t="s">
        <v>425</v>
      </c>
      <c r="C511" s="190">
        <v>2461</v>
      </c>
      <c r="D511" s="190" t="s">
        <v>408</v>
      </c>
      <c r="E511" s="191">
        <v>0</v>
      </c>
      <c r="F511" s="191">
        <v>0</v>
      </c>
      <c r="G511" s="191">
        <v>0</v>
      </c>
      <c r="H511" s="191">
        <v>0</v>
      </c>
      <c r="I511" s="191">
        <v>0</v>
      </c>
      <c r="J511" s="191">
        <v>0</v>
      </c>
      <c r="K511" s="191">
        <v>0</v>
      </c>
      <c r="L511" s="191">
        <v>0</v>
      </c>
      <c r="M511" s="191">
        <v>0</v>
      </c>
      <c r="N511" s="193">
        <v>5678.88</v>
      </c>
      <c r="O511" s="191">
        <v>0</v>
      </c>
      <c r="P511" s="191">
        <v>0</v>
      </c>
    </row>
    <row r="512" spans="1:16" x14ac:dyDescent="0.25">
      <c r="A512" s="190">
        <v>801010402</v>
      </c>
      <c r="B512" s="190" t="s">
        <v>426</v>
      </c>
      <c r="C512" s="190">
        <v>2461</v>
      </c>
      <c r="D512" s="190" t="s">
        <v>408</v>
      </c>
      <c r="E512" s="191">
        <v>133.03</v>
      </c>
      <c r="F512" s="191">
        <v>0</v>
      </c>
      <c r="G512" s="191">
        <v>0</v>
      </c>
      <c r="H512" s="191">
        <v>124.99</v>
      </c>
      <c r="I512" s="191">
        <v>0</v>
      </c>
      <c r="J512" s="191">
        <v>0</v>
      </c>
      <c r="K512" s="191">
        <v>0</v>
      </c>
      <c r="L512" s="193">
        <v>4103.4799999999996</v>
      </c>
      <c r="M512" s="191">
        <v>0</v>
      </c>
      <c r="N512" s="191">
        <v>0</v>
      </c>
      <c r="O512" s="191">
        <v>0</v>
      </c>
      <c r="P512" s="191">
        <v>0</v>
      </c>
    </row>
    <row r="513" spans="1:16" x14ac:dyDescent="0.25">
      <c r="A513" s="190">
        <v>801010402</v>
      </c>
      <c r="B513" s="190" t="s">
        <v>427</v>
      </c>
      <c r="C513" s="190">
        <v>2461</v>
      </c>
      <c r="D513" s="190" t="s">
        <v>408</v>
      </c>
      <c r="E513" s="191">
        <v>0</v>
      </c>
      <c r="F513" s="191">
        <v>0</v>
      </c>
      <c r="G513" s="191">
        <v>0</v>
      </c>
      <c r="H513" s="191">
        <v>0</v>
      </c>
      <c r="I513" s="191">
        <v>0</v>
      </c>
      <c r="J513" s="191">
        <v>0</v>
      </c>
      <c r="K513" s="191">
        <v>0</v>
      </c>
      <c r="L513" s="191">
        <v>0</v>
      </c>
      <c r="M513" s="191">
        <v>0</v>
      </c>
      <c r="N513" s="191">
        <v>0</v>
      </c>
      <c r="O513" s="191">
        <v>0</v>
      </c>
      <c r="P513" s="193">
        <v>4640</v>
      </c>
    </row>
    <row r="514" spans="1:16" x14ac:dyDescent="0.25">
      <c r="A514" s="190">
        <v>801010402</v>
      </c>
      <c r="B514" s="190" t="s">
        <v>428</v>
      </c>
      <c r="C514" s="190">
        <v>2461</v>
      </c>
      <c r="D514" s="190" t="s">
        <v>408</v>
      </c>
      <c r="E514" s="191">
        <v>0</v>
      </c>
      <c r="F514" s="191">
        <v>0</v>
      </c>
      <c r="G514" s="191">
        <v>0</v>
      </c>
      <c r="H514" s="191">
        <v>0</v>
      </c>
      <c r="I514" s="191">
        <v>0</v>
      </c>
      <c r="J514" s="191">
        <v>0</v>
      </c>
      <c r="K514" s="191">
        <v>0</v>
      </c>
      <c r="L514" s="193">
        <v>6266.58</v>
      </c>
      <c r="M514" s="191">
        <v>0</v>
      </c>
      <c r="N514" s="191">
        <v>0</v>
      </c>
      <c r="O514" s="191">
        <v>0</v>
      </c>
      <c r="P514" s="191">
        <v>0</v>
      </c>
    </row>
    <row r="515" spans="1:16" x14ac:dyDescent="0.25">
      <c r="A515" s="190">
        <v>801010402</v>
      </c>
      <c r="B515" s="190" t="s">
        <v>430</v>
      </c>
      <c r="C515" s="190">
        <v>2461</v>
      </c>
      <c r="D515" s="190" t="s">
        <v>408</v>
      </c>
      <c r="E515" s="191">
        <v>0</v>
      </c>
      <c r="F515" s="191">
        <v>0</v>
      </c>
      <c r="G515" s="191">
        <v>0</v>
      </c>
      <c r="H515" s="191">
        <v>0</v>
      </c>
      <c r="I515" s="191">
        <v>0</v>
      </c>
      <c r="J515" s="191">
        <v>0</v>
      </c>
      <c r="K515" s="191">
        <v>0</v>
      </c>
      <c r="L515" s="193">
        <v>2250</v>
      </c>
      <c r="M515" s="191">
        <v>0</v>
      </c>
      <c r="N515" s="191">
        <v>0</v>
      </c>
      <c r="O515" s="191">
        <v>0</v>
      </c>
      <c r="P515" s="191">
        <v>0</v>
      </c>
    </row>
    <row r="516" spans="1:16" x14ac:dyDescent="0.25">
      <c r="A516" s="190">
        <v>801010402</v>
      </c>
      <c r="B516" s="190" t="s">
        <v>431</v>
      </c>
      <c r="C516" s="190">
        <v>2461</v>
      </c>
      <c r="D516" s="190" t="s">
        <v>408</v>
      </c>
      <c r="E516" s="191">
        <v>0</v>
      </c>
      <c r="F516" s="191">
        <v>0</v>
      </c>
      <c r="G516" s="191">
        <v>0</v>
      </c>
      <c r="H516" s="191">
        <v>0</v>
      </c>
      <c r="I516" s="191">
        <v>0</v>
      </c>
      <c r="J516" s="191">
        <v>0</v>
      </c>
      <c r="K516" s="191">
        <v>0</v>
      </c>
      <c r="L516" s="193">
        <v>3751.18</v>
      </c>
      <c r="M516" s="191">
        <v>0</v>
      </c>
      <c r="N516" s="191">
        <v>0</v>
      </c>
      <c r="O516" s="191">
        <v>0</v>
      </c>
      <c r="P516" s="191">
        <v>0</v>
      </c>
    </row>
    <row r="517" spans="1:16" x14ac:dyDescent="0.25">
      <c r="A517" s="190">
        <v>801010402</v>
      </c>
      <c r="B517" s="190" t="s">
        <v>432</v>
      </c>
      <c r="C517" s="190">
        <v>2461</v>
      </c>
      <c r="D517" s="190" t="s">
        <v>408</v>
      </c>
      <c r="E517" s="191">
        <v>0</v>
      </c>
      <c r="F517" s="191">
        <v>0</v>
      </c>
      <c r="G517" s="191">
        <v>0</v>
      </c>
      <c r="H517" s="191">
        <v>0</v>
      </c>
      <c r="I517" s="191">
        <v>0</v>
      </c>
      <c r="J517" s="191">
        <v>248.82</v>
      </c>
      <c r="K517" s="191">
        <v>0</v>
      </c>
      <c r="L517" s="191">
        <v>261</v>
      </c>
      <c r="M517" s="191">
        <v>0</v>
      </c>
      <c r="N517" s="191">
        <v>0</v>
      </c>
      <c r="O517" s="191">
        <v>0</v>
      </c>
      <c r="P517" s="191">
        <v>0</v>
      </c>
    </row>
    <row r="518" spans="1:16" x14ac:dyDescent="0.25">
      <c r="A518" s="190">
        <v>801010402</v>
      </c>
      <c r="B518" s="190" t="s">
        <v>433</v>
      </c>
      <c r="C518" s="190">
        <v>2461</v>
      </c>
      <c r="D518" s="190" t="s">
        <v>408</v>
      </c>
      <c r="E518" s="191">
        <v>0</v>
      </c>
      <c r="F518" s="191">
        <v>0</v>
      </c>
      <c r="G518" s="191">
        <v>0</v>
      </c>
      <c r="H518" s="191">
        <v>0</v>
      </c>
      <c r="I518" s="191">
        <v>0</v>
      </c>
      <c r="J518" s="193">
        <v>5638.76</v>
      </c>
      <c r="K518" s="191">
        <v>0</v>
      </c>
      <c r="L518" s="191">
        <v>0</v>
      </c>
      <c r="M518" s="191">
        <v>0</v>
      </c>
      <c r="N518" s="191">
        <v>0</v>
      </c>
      <c r="O518" s="191">
        <v>0</v>
      </c>
      <c r="P518" s="191">
        <v>0</v>
      </c>
    </row>
    <row r="519" spans="1:16" x14ac:dyDescent="0.25">
      <c r="A519" s="190">
        <v>801010402</v>
      </c>
      <c r="B519" s="190" t="s">
        <v>434</v>
      </c>
      <c r="C519" s="190">
        <v>2461</v>
      </c>
      <c r="D519" s="190" t="s">
        <v>408</v>
      </c>
      <c r="E519" s="191">
        <v>0</v>
      </c>
      <c r="F519" s="191">
        <v>0</v>
      </c>
      <c r="G519" s="191">
        <v>0</v>
      </c>
      <c r="H519" s="191">
        <v>0</v>
      </c>
      <c r="I519" s="191">
        <v>0</v>
      </c>
      <c r="J519" s="191">
        <v>0</v>
      </c>
      <c r="K519" s="191">
        <v>0</v>
      </c>
      <c r="L519" s="191">
        <v>0</v>
      </c>
      <c r="M519" s="191">
        <v>0</v>
      </c>
      <c r="N519" s="191">
        <v>0</v>
      </c>
      <c r="O519" s="191">
        <v>0</v>
      </c>
      <c r="P519" s="191">
        <v>419.97</v>
      </c>
    </row>
    <row r="520" spans="1:16" x14ac:dyDescent="0.25">
      <c r="A520" s="190">
        <v>801010402</v>
      </c>
      <c r="B520" s="190" t="s">
        <v>436</v>
      </c>
      <c r="C520" s="190">
        <v>2461</v>
      </c>
      <c r="D520" s="190" t="s">
        <v>408</v>
      </c>
      <c r="E520" s="191">
        <v>0</v>
      </c>
      <c r="F520" s="191">
        <v>0</v>
      </c>
      <c r="G520" s="191">
        <v>0</v>
      </c>
      <c r="H520" s="191">
        <v>0</v>
      </c>
      <c r="I520" s="191">
        <v>0</v>
      </c>
      <c r="J520" s="191">
        <v>0</v>
      </c>
      <c r="K520" s="191">
        <v>0</v>
      </c>
      <c r="L520" s="191">
        <v>0</v>
      </c>
      <c r="M520" s="191">
        <v>0</v>
      </c>
      <c r="N520" s="193">
        <v>3914.27</v>
      </c>
      <c r="O520" s="191">
        <v>0</v>
      </c>
      <c r="P520" s="191">
        <v>0</v>
      </c>
    </row>
    <row r="521" spans="1:16" x14ac:dyDescent="0.25">
      <c r="A521" s="190">
        <v>801010402</v>
      </c>
      <c r="B521" s="190" t="s">
        <v>437</v>
      </c>
      <c r="C521" s="190">
        <v>2461</v>
      </c>
      <c r="D521" s="190" t="s">
        <v>408</v>
      </c>
      <c r="E521" s="191">
        <v>0</v>
      </c>
      <c r="F521" s="191">
        <v>0</v>
      </c>
      <c r="G521" s="191">
        <v>0</v>
      </c>
      <c r="H521" s="191">
        <v>0</v>
      </c>
      <c r="I521" s="191">
        <v>0</v>
      </c>
      <c r="J521" s="191">
        <v>400.2</v>
      </c>
      <c r="K521" s="191">
        <v>0</v>
      </c>
      <c r="L521" s="191">
        <v>0</v>
      </c>
      <c r="M521" s="191">
        <v>0</v>
      </c>
      <c r="N521" s="191">
        <v>0</v>
      </c>
      <c r="O521" s="191">
        <v>0</v>
      </c>
      <c r="P521" s="191">
        <v>0</v>
      </c>
    </row>
    <row r="522" spans="1:16" x14ac:dyDescent="0.25">
      <c r="A522" s="190">
        <v>801010402</v>
      </c>
      <c r="B522" s="190" t="s">
        <v>410</v>
      </c>
      <c r="C522" s="190">
        <v>2471</v>
      </c>
      <c r="D522" s="190" t="s">
        <v>408</v>
      </c>
      <c r="E522" s="191">
        <v>0</v>
      </c>
      <c r="F522" s="191">
        <v>0</v>
      </c>
      <c r="G522" s="191">
        <v>0</v>
      </c>
      <c r="H522" s="191">
        <v>0</v>
      </c>
      <c r="I522" s="191">
        <v>0</v>
      </c>
      <c r="J522" s="193">
        <v>4035.9</v>
      </c>
      <c r="K522" s="191">
        <v>0</v>
      </c>
      <c r="L522" s="191">
        <v>0</v>
      </c>
      <c r="M522" s="191">
        <v>0</v>
      </c>
      <c r="N522" s="191">
        <v>0</v>
      </c>
      <c r="O522" s="191">
        <v>0</v>
      </c>
      <c r="P522" s="191">
        <v>0</v>
      </c>
    </row>
    <row r="523" spans="1:16" x14ac:dyDescent="0.25">
      <c r="A523" s="190">
        <v>801010402</v>
      </c>
      <c r="B523" s="190" t="s">
        <v>419</v>
      </c>
      <c r="C523" s="190">
        <v>2471</v>
      </c>
      <c r="D523" s="190" t="s">
        <v>408</v>
      </c>
      <c r="E523" s="191">
        <v>0</v>
      </c>
      <c r="F523" s="191">
        <v>0</v>
      </c>
      <c r="G523" s="191">
        <v>0</v>
      </c>
      <c r="H523" s="191">
        <v>0</v>
      </c>
      <c r="I523" s="191">
        <v>0</v>
      </c>
      <c r="J523" s="191">
        <v>0</v>
      </c>
      <c r="K523" s="191">
        <v>0</v>
      </c>
      <c r="L523" s="193">
        <v>1488.65</v>
      </c>
      <c r="M523" s="191">
        <v>0</v>
      </c>
      <c r="N523" s="191">
        <v>0</v>
      </c>
      <c r="O523" s="191">
        <v>0</v>
      </c>
      <c r="P523" s="191">
        <v>0</v>
      </c>
    </row>
    <row r="524" spans="1:16" x14ac:dyDescent="0.25">
      <c r="A524" s="190">
        <v>801010402</v>
      </c>
      <c r="B524" s="190" t="s">
        <v>426</v>
      </c>
      <c r="C524" s="190">
        <v>2471</v>
      </c>
      <c r="D524" s="190" t="s">
        <v>408</v>
      </c>
      <c r="E524" s="191">
        <v>647.91</v>
      </c>
      <c r="F524" s="191">
        <v>0</v>
      </c>
      <c r="G524" s="191">
        <v>0</v>
      </c>
      <c r="H524" s="191">
        <v>0</v>
      </c>
      <c r="I524" s="191">
        <v>0</v>
      </c>
      <c r="J524" s="191">
        <v>0</v>
      </c>
      <c r="K524" s="191">
        <v>0</v>
      </c>
      <c r="L524" s="191">
        <v>0</v>
      </c>
      <c r="M524" s="191">
        <v>0</v>
      </c>
      <c r="N524" s="191">
        <v>0</v>
      </c>
      <c r="O524" s="191">
        <v>0</v>
      </c>
      <c r="P524" s="191">
        <v>0</v>
      </c>
    </row>
    <row r="525" spans="1:16" x14ac:dyDescent="0.25">
      <c r="A525" s="190">
        <v>801010402</v>
      </c>
      <c r="B525" s="190" t="s">
        <v>431</v>
      </c>
      <c r="C525" s="190">
        <v>2471</v>
      </c>
      <c r="D525" s="190" t="s">
        <v>408</v>
      </c>
      <c r="E525" s="191">
        <v>0</v>
      </c>
      <c r="F525" s="191">
        <v>0</v>
      </c>
      <c r="G525" s="191">
        <v>0</v>
      </c>
      <c r="H525" s="191">
        <v>0</v>
      </c>
      <c r="I525" s="191">
        <v>0</v>
      </c>
      <c r="J525" s="193">
        <v>3735.05</v>
      </c>
      <c r="K525" s="191">
        <v>0</v>
      </c>
      <c r="L525" s="191">
        <v>0</v>
      </c>
      <c r="M525" s="191">
        <v>0</v>
      </c>
      <c r="N525" s="191">
        <v>0</v>
      </c>
      <c r="O525" s="191">
        <v>0</v>
      </c>
      <c r="P525" s="191">
        <v>0</v>
      </c>
    </row>
    <row r="526" spans="1:16" x14ac:dyDescent="0.25">
      <c r="A526" s="190">
        <v>801010402</v>
      </c>
      <c r="B526" s="190" t="s">
        <v>407</v>
      </c>
      <c r="C526" s="190">
        <v>2481</v>
      </c>
      <c r="D526" s="190" t="s">
        <v>408</v>
      </c>
      <c r="E526" s="191">
        <v>0</v>
      </c>
      <c r="F526" s="191">
        <v>0</v>
      </c>
      <c r="G526" s="193">
        <v>26589.78</v>
      </c>
      <c r="H526" s="191">
        <v>0</v>
      </c>
      <c r="I526" s="191">
        <v>0</v>
      </c>
      <c r="J526" s="191">
        <v>0</v>
      </c>
      <c r="K526" s="191">
        <v>0</v>
      </c>
      <c r="L526" s="191">
        <v>0</v>
      </c>
      <c r="M526" s="191">
        <v>0</v>
      </c>
      <c r="N526" s="191">
        <v>0</v>
      </c>
      <c r="O526" s="191">
        <v>0</v>
      </c>
      <c r="P526" s="191">
        <v>0</v>
      </c>
    </row>
    <row r="527" spans="1:16" x14ac:dyDescent="0.25">
      <c r="A527" s="190">
        <v>801010402</v>
      </c>
      <c r="B527" s="190" t="s">
        <v>414</v>
      </c>
      <c r="C527" s="190">
        <v>2481</v>
      </c>
      <c r="D527" s="190" t="s">
        <v>408</v>
      </c>
      <c r="E527" s="191">
        <v>0</v>
      </c>
      <c r="F527" s="191">
        <v>0</v>
      </c>
      <c r="G527" s="193">
        <v>9425</v>
      </c>
      <c r="H527" s="191">
        <v>0</v>
      </c>
      <c r="I527" s="191">
        <v>0</v>
      </c>
      <c r="J527" s="191">
        <v>0</v>
      </c>
      <c r="K527" s="191">
        <v>0</v>
      </c>
      <c r="L527" s="191">
        <v>0</v>
      </c>
      <c r="M527" s="191">
        <v>0</v>
      </c>
      <c r="N527" s="191">
        <v>0</v>
      </c>
      <c r="O527" s="191">
        <v>0</v>
      </c>
      <c r="P527" s="191">
        <v>0</v>
      </c>
    </row>
    <row r="528" spans="1:16" x14ac:dyDescent="0.25">
      <c r="A528" s="190">
        <v>801010402</v>
      </c>
      <c r="B528" s="190" t="s">
        <v>419</v>
      </c>
      <c r="C528" s="190">
        <v>2481</v>
      </c>
      <c r="D528" s="190" t="s">
        <v>408</v>
      </c>
      <c r="E528" s="191">
        <v>0</v>
      </c>
      <c r="F528" s="191">
        <v>0</v>
      </c>
      <c r="G528" s="191">
        <v>0</v>
      </c>
      <c r="H528" s="191">
        <v>0</v>
      </c>
      <c r="I528" s="191">
        <v>0</v>
      </c>
      <c r="J528" s="191">
        <v>940</v>
      </c>
      <c r="K528" s="191">
        <v>0</v>
      </c>
      <c r="L528" s="191">
        <v>0</v>
      </c>
      <c r="M528" s="191">
        <v>0</v>
      </c>
      <c r="N528" s="191">
        <v>0</v>
      </c>
      <c r="O528" s="191">
        <v>0</v>
      </c>
      <c r="P528" s="191">
        <v>0</v>
      </c>
    </row>
    <row r="529" spans="1:16" x14ac:dyDescent="0.25">
      <c r="A529" s="190">
        <v>801010402</v>
      </c>
      <c r="B529" s="190" t="s">
        <v>420</v>
      </c>
      <c r="C529" s="190">
        <v>2481</v>
      </c>
      <c r="D529" s="190" t="s">
        <v>408</v>
      </c>
      <c r="E529" s="191">
        <v>0</v>
      </c>
      <c r="F529" s="193">
        <v>59183.29</v>
      </c>
      <c r="G529" s="191">
        <v>0</v>
      </c>
      <c r="H529" s="193">
        <v>15179.77</v>
      </c>
      <c r="I529" s="191">
        <v>0</v>
      </c>
      <c r="J529" s="191">
        <v>0</v>
      </c>
      <c r="K529" s="191">
        <v>0</v>
      </c>
      <c r="L529" s="191">
        <v>0</v>
      </c>
      <c r="M529" s="191">
        <v>0</v>
      </c>
      <c r="N529" s="191">
        <v>0</v>
      </c>
      <c r="O529" s="191">
        <v>0</v>
      </c>
      <c r="P529" s="191">
        <v>0</v>
      </c>
    </row>
    <row r="530" spans="1:16" x14ac:dyDescent="0.25">
      <c r="A530" s="190">
        <v>801010402</v>
      </c>
      <c r="B530" s="190" t="s">
        <v>424</v>
      </c>
      <c r="C530" s="190">
        <v>2481</v>
      </c>
      <c r="D530" s="190" t="s">
        <v>408</v>
      </c>
      <c r="E530" s="191">
        <v>840</v>
      </c>
      <c r="F530" s="191">
        <v>0</v>
      </c>
      <c r="G530" s="191">
        <v>0</v>
      </c>
      <c r="H530" s="191">
        <v>0</v>
      </c>
      <c r="I530" s="191">
        <v>0</v>
      </c>
      <c r="J530" s="191">
        <v>0</v>
      </c>
      <c r="K530" s="191">
        <v>0</v>
      </c>
      <c r="L530" s="191">
        <v>0</v>
      </c>
      <c r="M530" s="191">
        <v>0</v>
      </c>
      <c r="N530" s="191">
        <v>0</v>
      </c>
      <c r="O530" s="191">
        <v>0</v>
      </c>
      <c r="P530" s="191">
        <v>0</v>
      </c>
    </row>
    <row r="531" spans="1:16" x14ac:dyDescent="0.25">
      <c r="A531" s="190">
        <v>801010402</v>
      </c>
      <c r="B531" s="190" t="s">
        <v>425</v>
      </c>
      <c r="C531" s="190">
        <v>2481</v>
      </c>
      <c r="D531" s="190" t="s">
        <v>408</v>
      </c>
      <c r="E531" s="191">
        <v>0</v>
      </c>
      <c r="F531" s="191">
        <v>0</v>
      </c>
      <c r="G531" s="193">
        <v>1910</v>
      </c>
      <c r="H531" s="191">
        <v>0</v>
      </c>
      <c r="I531" s="191">
        <v>0</v>
      </c>
      <c r="J531" s="191">
        <v>0</v>
      </c>
      <c r="K531" s="191">
        <v>0</v>
      </c>
      <c r="L531" s="191">
        <v>0</v>
      </c>
      <c r="M531" s="191">
        <v>0</v>
      </c>
      <c r="N531" s="191">
        <v>0</v>
      </c>
      <c r="O531" s="191">
        <v>0</v>
      </c>
      <c r="P531" s="191">
        <v>0</v>
      </c>
    </row>
    <row r="532" spans="1:16" x14ac:dyDescent="0.25">
      <c r="A532" s="190">
        <v>801010402</v>
      </c>
      <c r="B532" s="190" t="s">
        <v>429</v>
      </c>
      <c r="C532" s="190">
        <v>2481</v>
      </c>
      <c r="D532" s="190" t="s">
        <v>408</v>
      </c>
      <c r="E532" s="191">
        <v>0</v>
      </c>
      <c r="F532" s="191">
        <v>0</v>
      </c>
      <c r="G532" s="191">
        <v>0</v>
      </c>
      <c r="H532" s="191">
        <v>0</v>
      </c>
      <c r="I532" s="191">
        <v>0</v>
      </c>
      <c r="J532" s="191">
        <v>0</v>
      </c>
      <c r="K532" s="191">
        <v>0</v>
      </c>
      <c r="L532" s="193">
        <v>14710.19</v>
      </c>
      <c r="M532" s="191">
        <v>0</v>
      </c>
      <c r="N532" s="191">
        <v>0</v>
      </c>
      <c r="O532" s="191">
        <v>0</v>
      </c>
      <c r="P532" s="191">
        <v>0</v>
      </c>
    </row>
    <row r="533" spans="1:16" x14ac:dyDescent="0.25">
      <c r="A533" s="190">
        <v>801010402</v>
      </c>
      <c r="B533" s="190" t="s">
        <v>431</v>
      </c>
      <c r="C533" s="190">
        <v>2481</v>
      </c>
      <c r="D533" s="190" t="s">
        <v>408</v>
      </c>
      <c r="E533" s="191">
        <v>0</v>
      </c>
      <c r="F533" s="191">
        <v>0</v>
      </c>
      <c r="G533" s="193">
        <v>9425</v>
      </c>
      <c r="H533" s="191">
        <v>0</v>
      </c>
      <c r="I533" s="191">
        <v>0</v>
      </c>
      <c r="J533" s="191">
        <v>0</v>
      </c>
      <c r="K533" s="191">
        <v>0</v>
      </c>
      <c r="L533" s="191">
        <v>0</v>
      </c>
      <c r="M533" s="191">
        <v>0</v>
      </c>
      <c r="N533" s="191">
        <v>0</v>
      </c>
      <c r="O533" s="191">
        <v>0</v>
      </c>
      <c r="P533" s="191">
        <v>0</v>
      </c>
    </row>
    <row r="534" spans="1:16" x14ac:dyDescent="0.25">
      <c r="A534" s="190">
        <v>801010402</v>
      </c>
      <c r="B534" s="190" t="s">
        <v>407</v>
      </c>
      <c r="C534" s="190">
        <v>2482</v>
      </c>
      <c r="D534" s="190" t="s">
        <v>408</v>
      </c>
      <c r="E534" s="191">
        <v>0</v>
      </c>
      <c r="F534" s="193">
        <v>12539.6</v>
      </c>
      <c r="G534" s="193">
        <v>17239.919999999998</v>
      </c>
      <c r="H534" s="191">
        <v>0</v>
      </c>
      <c r="I534" s="191">
        <v>0</v>
      </c>
      <c r="J534" s="191">
        <v>0</v>
      </c>
      <c r="K534" s="191">
        <v>0</v>
      </c>
      <c r="L534" s="191">
        <v>0</v>
      </c>
      <c r="M534" s="191">
        <v>0</v>
      </c>
      <c r="N534" s="191">
        <v>0</v>
      </c>
      <c r="O534" s="191">
        <v>0</v>
      </c>
      <c r="P534" s="191">
        <v>0</v>
      </c>
    </row>
    <row r="535" spans="1:16" x14ac:dyDescent="0.25">
      <c r="A535" s="190">
        <v>801010402</v>
      </c>
      <c r="B535" s="190" t="s">
        <v>415</v>
      </c>
      <c r="C535" s="190">
        <v>2482</v>
      </c>
      <c r="D535" s="190" t="s">
        <v>408</v>
      </c>
      <c r="E535" s="191">
        <v>0</v>
      </c>
      <c r="F535" s="191">
        <v>0</v>
      </c>
      <c r="G535" s="191">
        <v>0</v>
      </c>
      <c r="H535" s="191">
        <v>0</v>
      </c>
      <c r="I535" s="191">
        <v>0</v>
      </c>
      <c r="J535" s="191">
        <v>301.60000000000002</v>
      </c>
      <c r="K535" s="191">
        <v>0</v>
      </c>
      <c r="L535" s="191">
        <v>0</v>
      </c>
      <c r="M535" s="191">
        <v>0</v>
      </c>
      <c r="N535" s="191">
        <v>0</v>
      </c>
      <c r="O535" s="191">
        <v>0</v>
      </c>
      <c r="P535" s="191">
        <v>0</v>
      </c>
    </row>
    <row r="536" spans="1:16" x14ac:dyDescent="0.25">
      <c r="A536" s="190">
        <v>801010402</v>
      </c>
      <c r="B536" s="190" t="s">
        <v>416</v>
      </c>
      <c r="C536" s="190">
        <v>2482</v>
      </c>
      <c r="D536" s="190" t="s">
        <v>408</v>
      </c>
      <c r="E536" s="191">
        <v>0</v>
      </c>
      <c r="F536" s="191">
        <v>0</v>
      </c>
      <c r="G536" s="191">
        <v>0</v>
      </c>
      <c r="H536" s="191">
        <v>0</v>
      </c>
      <c r="I536" s="191">
        <v>0</v>
      </c>
      <c r="J536" s="191">
        <v>0</v>
      </c>
      <c r="K536" s="193">
        <v>1148.8</v>
      </c>
      <c r="L536" s="191">
        <v>0</v>
      </c>
      <c r="M536" s="191">
        <v>0</v>
      </c>
      <c r="N536" s="191">
        <v>0</v>
      </c>
      <c r="O536" s="191">
        <v>0</v>
      </c>
      <c r="P536" s="191">
        <v>0</v>
      </c>
    </row>
    <row r="537" spans="1:16" x14ac:dyDescent="0.25">
      <c r="A537" s="190">
        <v>801010402</v>
      </c>
      <c r="B537" s="190" t="s">
        <v>425</v>
      </c>
      <c r="C537" s="190">
        <v>2482</v>
      </c>
      <c r="D537" s="190" t="s">
        <v>408</v>
      </c>
      <c r="E537" s="191">
        <v>0</v>
      </c>
      <c r="F537" s="191">
        <v>0</v>
      </c>
      <c r="G537" s="191">
        <v>0</v>
      </c>
      <c r="H537" s="191">
        <v>0</v>
      </c>
      <c r="I537" s="191">
        <v>0</v>
      </c>
      <c r="J537" s="191">
        <v>0</v>
      </c>
      <c r="K537" s="191">
        <v>0</v>
      </c>
      <c r="L537" s="191">
        <v>0</v>
      </c>
      <c r="M537" s="191">
        <v>0</v>
      </c>
      <c r="N537" s="191">
        <v>0</v>
      </c>
      <c r="O537" s="193">
        <v>8914.6</v>
      </c>
      <c r="P537" s="191">
        <v>0</v>
      </c>
    </row>
    <row r="538" spans="1:16" x14ac:dyDescent="0.25">
      <c r="A538" s="190">
        <v>801010402</v>
      </c>
      <c r="B538" s="190" t="s">
        <v>424</v>
      </c>
      <c r="C538" s="190">
        <v>2483</v>
      </c>
      <c r="D538" s="190" t="s">
        <v>408</v>
      </c>
      <c r="E538" s="191">
        <v>0</v>
      </c>
      <c r="F538" s="191">
        <v>0</v>
      </c>
      <c r="G538" s="191">
        <v>0</v>
      </c>
      <c r="H538" s="191">
        <v>0</v>
      </c>
      <c r="I538" s="191">
        <v>0</v>
      </c>
      <c r="J538" s="191">
        <v>0</v>
      </c>
      <c r="K538" s="191">
        <v>750</v>
      </c>
      <c r="L538" s="191">
        <v>0</v>
      </c>
      <c r="M538" s="191">
        <v>0</v>
      </c>
      <c r="N538" s="191">
        <v>0</v>
      </c>
      <c r="O538" s="191">
        <v>0</v>
      </c>
      <c r="P538" s="191">
        <v>0</v>
      </c>
    </row>
    <row r="539" spans="1:16" x14ac:dyDescent="0.25">
      <c r="A539" s="190">
        <v>801010402</v>
      </c>
      <c r="B539" s="190" t="s">
        <v>407</v>
      </c>
      <c r="C539" s="190">
        <v>2491</v>
      </c>
      <c r="D539" s="190" t="s">
        <v>408</v>
      </c>
      <c r="E539" s="191">
        <v>0</v>
      </c>
      <c r="F539" s="193">
        <v>21015.279999999999</v>
      </c>
      <c r="G539" s="191">
        <v>0</v>
      </c>
      <c r="H539" s="191">
        <v>0</v>
      </c>
      <c r="I539" s="191">
        <v>0</v>
      </c>
      <c r="J539" s="193">
        <v>34185.050000000003</v>
      </c>
      <c r="K539" s="191">
        <v>0</v>
      </c>
      <c r="L539" s="191">
        <v>0</v>
      </c>
      <c r="M539" s="191">
        <v>0</v>
      </c>
      <c r="N539" s="191">
        <v>0</v>
      </c>
      <c r="O539" s="191">
        <v>0</v>
      </c>
      <c r="P539" s="193">
        <v>5000</v>
      </c>
    </row>
    <row r="540" spans="1:16" x14ac:dyDescent="0.25">
      <c r="A540" s="190">
        <v>801010402</v>
      </c>
      <c r="B540" s="190" t="s">
        <v>410</v>
      </c>
      <c r="C540" s="190">
        <v>2491</v>
      </c>
      <c r="D540" s="190" t="s">
        <v>408</v>
      </c>
      <c r="E540" s="191">
        <v>0</v>
      </c>
      <c r="F540" s="191">
        <v>0</v>
      </c>
      <c r="G540" s="191">
        <v>0</v>
      </c>
      <c r="H540" s="191">
        <v>0</v>
      </c>
      <c r="I540" s="191">
        <v>0</v>
      </c>
      <c r="J540" s="193">
        <v>8038.9</v>
      </c>
      <c r="K540" s="191">
        <v>0</v>
      </c>
      <c r="L540" s="193">
        <v>3200.99</v>
      </c>
      <c r="M540" s="191">
        <v>0</v>
      </c>
      <c r="N540" s="191">
        <v>0</v>
      </c>
      <c r="O540" s="191">
        <v>0</v>
      </c>
      <c r="P540" s="191">
        <v>0</v>
      </c>
    </row>
    <row r="541" spans="1:16" x14ac:dyDescent="0.25">
      <c r="A541" s="190">
        <v>801010402</v>
      </c>
      <c r="B541" s="190" t="s">
        <v>414</v>
      </c>
      <c r="C541" s="190">
        <v>2491</v>
      </c>
      <c r="D541" s="190" t="s">
        <v>408</v>
      </c>
      <c r="E541" s="191">
        <v>0</v>
      </c>
      <c r="F541" s="191">
        <v>0</v>
      </c>
      <c r="G541" s="191">
        <v>0</v>
      </c>
      <c r="H541" s="191">
        <v>0</v>
      </c>
      <c r="I541" s="191">
        <v>0</v>
      </c>
      <c r="J541" s="193">
        <v>7924.01</v>
      </c>
      <c r="K541" s="191">
        <v>0</v>
      </c>
      <c r="L541" s="191">
        <v>0</v>
      </c>
      <c r="M541" s="191">
        <v>0</v>
      </c>
      <c r="N541" s="191">
        <v>0</v>
      </c>
      <c r="O541" s="191">
        <v>0</v>
      </c>
      <c r="P541" s="191">
        <v>0</v>
      </c>
    </row>
    <row r="542" spans="1:16" x14ac:dyDescent="0.25">
      <c r="A542" s="190">
        <v>801010402</v>
      </c>
      <c r="B542" s="190" t="s">
        <v>416</v>
      </c>
      <c r="C542" s="190">
        <v>2491</v>
      </c>
      <c r="D542" s="190" t="s">
        <v>408</v>
      </c>
      <c r="E542" s="191">
        <v>0</v>
      </c>
      <c r="F542" s="191">
        <v>0</v>
      </c>
      <c r="G542" s="191">
        <v>0</v>
      </c>
      <c r="H542" s="191">
        <v>0</v>
      </c>
      <c r="I542" s="191">
        <v>0</v>
      </c>
      <c r="J542" s="193">
        <v>7790</v>
      </c>
      <c r="K542" s="191">
        <v>0</v>
      </c>
      <c r="L542" s="191">
        <v>0</v>
      </c>
      <c r="M542" s="191">
        <v>0</v>
      </c>
      <c r="N542" s="191">
        <v>0</v>
      </c>
      <c r="O542" s="191">
        <v>0</v>
      </c>
      <c r="P542" s="191">
        <v>0</v>
      </c>
    </row>
    <row r="543" spans="1:16" x14ac:dyDescent="0.25">
      <c r="A543" s="190">
        <v>801010402</v>
      </c>
      <c r="B543" s="190" t="s">
        <v>419</v>
      </c>
      <c r="C543" s="190">
        <v>2491</v>
      </c>
      <c r="D543" s="190" t="s">
        <v>408</v>
      </c>
      <c r="E543" s="191">
        <v>0</v>
      </c>
      <c r="F543" s="191">
        <v>0</v>
      </c>
      <c r="G543" s="191">
        <v>0</v>
      </c>
      <c r="H543" s="191">
        <v>0</v>
      </c>
      <c r="I543" s="191">
        <v>0</v>
      </c>
      <c r="J543" s="191">
        <v>0</v>
      </c>
      <c r="K543" s="191">
        <v>0</v>
      </c>
      <c r="L543" s="193">
        <v>2932.1</v>
      </c>
      <c r="M543" s="191">
        <v>0</v>
      </c>
      <c r="N543" s="191">
        <v>0</v>
      </c>
      <c r="O543" s="191">
        <v>0</v>
      </c>
      <c r="P543" s="191">
        <v>0</v>
      </c>
    </row>
    <row r="544" spans="1:16" x14ac:dyDescent="0.25">
      <c r="A544" s="190">
        <v>801010402</v>
      </c>
      <c r="B544" s="190" t="s">
        <v>425</v>
      </c>
      <c r="C544" s="190">
        <v>2491</v>
      </c>
      <c r="D544" s="190" t="s">
        <v>408</v>
      </c>
      <c r="E544" s="191">
        <v>0</v>
      </c>
      <c r="F544" s="191">
        <v>0</v>
      </c>
      <c r="G544" s="191">
        <v>0</v>
      </c>
      <c r="H544" s="191">
        <v>0</v>
      </c>
      <c r="I544" s="191">
        <v>0</v>
      </c>
      <c r="J544" s="191">
        <v>0</v>
      </c>
      <c r="K544" s="191">
        <v>0</v>
      </c>
      <c r="L544" s="191">
        <v>0</v>
      </c>
      <c r="M544" s="191">
        <v>0</v>
      </c>
      <c r="N544" s="191">
        <v>0</v>
      </c>
      <c r="O544" s="191">
        <v>0</v>
      </c>
      <c r="P544" s="193">
        <v>2100.1</v>
      </c>
    </row>
    <row r="545" spans="1:16" x14ac:dyDescent="0.25">
      <c r="A545" s="190">
        <v>801010402</v>
      </c>
      <c r="B545" s="190" t="s">
        <v>426</v>
      </c>
      <c r="C545" s="190">
        <v>2491</v>
      </c>
      <c r="D545" s="190" t="s">
        <v>408</v>
      </c>
      <c r="E545" s="191">
        <v>0</v>
      </c>
      <c r="F545" s="191">
        <v>0</v>
      </c>
      <c r="G545" s="191">
        <v>0</v>
      </c>
      <c r="H545" s="191">
        <v>0</v>
      </c>
      <c r="I545" s="191">
        <v>0</v>
      </c>
      <c r="J545" s="191">
        <v>0</v>
      </c>
      <c r="K545" s="191">
        <v>0</v>
      </c>
      <c r="L545" s="193">
        <v>6549.99</v>
      </c>
      <c r="M545" s="191">
        <v>0</v>
      </c>
      <c r="N545" s="191">
        <v>0</v>
      </c>
      <c r="O545" s="191">
        <v>0</v>
      </c>
      <c r="P545" s="191">
        <v>0</v>
      </c>
    </row>
    <row r="546" spans="1:16" x14ac:dyDescent="0.25">
      <c r="A546" s="190">
        <v>801010402</v>
      </c>
      <c r="B546" s="190" t="s">
        <v>431</v>
      </c>
      <c r="C546" s="190">
        <v>2491</v>
      </c>
      <c r="D546" s="190" t="s">
        <v>408</v>
      </c>
      <c r="E546" s="191">
        <v>0</v>
      </c>
      <c r="F546" s="191">
        <v>0</v>
      </c>
      <c r="G546" s="191">
        <v>0</v>
      </c>
      <c r="H546" s="191">
        <v>0</v>
      </c>
      <c r="I546" s="191">
        <v>0</v>
      </c>
      <c r="J546" s="191">
        <v>0</v>
      </c>
      <c r="K546" s="191">
        <v>0</v>
      </c>
      <c r="L546" s="193">
        <v>11038.09</v>
      </c>
      <c r="M546" s="191">
        <v>0</v>
      </c>
      <c r="N546" s="191">
        <v>0</v>
      </c>
      <c r="O546" s="191">
        <v>0</v>
      </c>
      <c r="P546" s="191">
        <v>0</v>
      </c>
    </row>
    <row r="547" spans="1:16" x14ac:dyDescent="0.25">
      <c r="A547" s="190">
        <v>801010402</v>
      </c>
      <c r="B547" s="190" t="s">
        <v>435</v>
      </c>
      <c r="C547" s="190">
        <v>2491</v>
      </c>
      <c r="D547" s="190" t="s">
        <v>408</v>
      </c>
      <c r="E547" s="191">
        <v>0</v>
      </c>
      <c r="F547" s="191">
        <v>0</v>
      </c>
      <c r="G547" s="191">
        <v>0</v>
      </c>
      <c r="H547" s="191">
        <v>0</v>
      </c>
      <c r="I547" s="191">
        <v>0</v>
      </c>
      <c r="J547" s="191">
        <v>410</v>
      </c>
      <c r="K547" s="191">
        <v>0</v>
      </c>
      <c r="L547" s="191">
        <v>0</v>
      </c>
      <c r="M547" s="191">
        <v>0</v>
      </c>
      <c r="N547" s="191">
        <v>0</v>
      </c>
      <c r="O547" s="191">
        <v>0</v>
      </c>
      <c r="P547" s="191">
        <v>0</v>
      </c>
    </row>
    <row r="548" spans="1:16" x14ac:dyDescent="0.25">
      <c r="A548" s="190">
        <v>801010402</v>
      </c>
      <c r="B548" s="190" t="s">
        <v>437</v>
      </c>
      <c r="C548" s="190">
        <v>2491</v>
      </c>
      <c r="D548" s="190" t="s">
        <v>408</v>
      </c>
      <c r="E548" s="191">
        <v>0</v>
      </c>
      <c r="F548" s="191">
        <v>0</v>
      </c>
      <c r="G548" s="191">
        <v>0</v>
      </c>
      <c r="H548" s="191">
        <v>0</v>
      </c>
      <c r="I548" s="191">
        <v>0</v>
      </c>
      <c r="J548" s="193">
        <v>9217.9</v>
      </c>
      <c r="K548" s="191">
        <v>0</v>
      </c>
      <c r="L548" s="193">
        <v>3225.09</v>
      </c>
      <c r="M548" s="191">
        <v>0</v>
      </c>
      <c r="N548" s="191">
        <v>0</v>
      </c>
      <c r="O548" s="191">
        <v>0</v>
      </c>
      <c r="P548" s="191">
        <v>0</v>
      </c>
    </row>
    <row r="549" spans="1:16" x14ac:dyDescent="0.25">
      <c r="A549" s="190">
        <v>801010402</v>
      </c>
      <c r="B549" s="190" t="s">
        <v>407</v>
      </c>
      <c r="C549" s="190">
        <v>2492</v>
      </c>
      <c r="D549" s="190" t="s">
        <v>408</v>
      </c>
      <c r="E549" s="191">
        <v>0</v>
      </c>
      <c r="F549" s="191">
        <v>0</v>
      </c>
      <c r="G549" s="191">
        <v>0</v>
      </c>
      <c r="H549" s="191">
        <v>0</v>
      </c>
      <c r="I549" s="191">
        <v>0</v>
      </c>
      <c r="J549" s="193">
        <v>16551.2</v>
      </c>
      <c r="K549" s="191">
        <v>0</v>
      </c>
      <c r="L549" s="191">
        <v>0</v>
      </c>
      <c r="M549" s="191">
        <v>0</v>
      </c>
      <c r="N549" s="191">
        <v>0</v>
      </c>
      <c r="O549" s="191">
        <v>0</v>
      </c>
      <c r="P549" s="191">
        <v>0</v>
      </c>
    </row>
    <row r="550" spans="1:16" x14ac:dyDescent="0.25">
      <c r="A550" s="190">
        <v>801010402</v>
      </c>
      <c r="B550" s="190" t="s">
        <v>413</v>
      </c>
      <c r="C550" s="190">
        <v>2492</v>
      </c>
      <c r="D550" s="190" t="s">
        <v>408</v>
      </c>
      <c r="E550" s="191">
        <v>0</v>
      </c>
      <c r="F550" s="191">
        <v>0</v>
      </c>
      <c r="G550" s="191">
        <v>0</v>
      </c>
      <c r="H550" s="191">
        <v>0</v>
      </c>
      <c r="I550" s="191">
        <v>0</v>
      </c>
      <c r="J550" s="193">
        <v>56376</v>
      </c>
      <c r="K550" s="191">
        <v>0</v>
      </c>
      <c r="L550" s="191">
        <v>0</v>
      </c>
      <c r="M550" s="191">
        <v>0</v>
      </c>
      <c r="N550" s="191">
        <v>0</v>
      </c>
      <c r="O550" s="191">
        <v>0</v>
      </c>
      <c r="P550" s="191">
        <v>0</v>
      </c>
    </row>
    <row r="551" spans="1:16" x14ac:dyDescent="0.25">
      <c r="A551" s="190">
        <v>801010402</v>
      </c>
      <c r="B551" s="190" t="s">
        <v>426</v>
      </c>
      <c r="C551" s="190">
        <v>2492</v>
      </c>
      <c r="D551" s="190" t="s">
        <v>408</v>
      </c>
      <c r="E551" s="191">
        <v>0</v>
      </c>
      <c r="F551" s="191">
        <v>0</v>
      </c>
      <c r="G551" s="191">
        <v>0</v>
      </c>
      <c r="H551" s="191">
        <v>0</v>
      </c>
      <c r="I551" s="191">
        <v>0</v>
      </c>
      <c r="J551" s="193">
        <v>4388.51</v>
      </c>
      <c r="K551" s="191">
        <v>0</v>
      </c>
      <c r="L551" s="191">
        <v>0</v>
      </c>
      <c r="M551" s="191">
        <v>0</v>
      </c>
      <c r="N551" s="191">
        <v>0</v>
      </c>
      <c r="O551" s="191">
        <v>0</v>
      </c>
      <c r="P551" s="191">
        <v>0</v>
      </c>
    </row>
    <row r="552" spans="1:16" x14ac:dyDescent="0.25">
      <c r="A552" s="190">
        <v>801010402</v>
      </c>
      <c r="B552" s="190" t="s">
        <v>421</v>
      </c>
      <c r="C552" s="190">
        <v>2511</v>
      </c>
      <c r="D552" s="190" t="s">
        <v>408</v>
      </c>
      <c r="E552" s="191">
        <v>0</v>
      </c>
      <c r="F552" s="191">
        <v>0</v>
      </c>
      <c r="G552" s="191">
        <v>0</v>
      </c>
      <c r="H552" s="191">
        <v>0</v>
      </c>
      <c r="I552" s="191">
        <v>0</v>
      </c>
      <c r="J552" s="191">
        <v>0</v>
      </c>
      <c r="K552" s="191">
        <v>0</v>
      </c>
      <c r="L552" s="191">
        <v>0</v>
      </c>
      <c r="M552" s="191">
        <v>0</v>
      </c>
      <c r="N552" s="191">
        <v>0</v>
      </c>
      <c r="O552" s="193">
        <v>3092.56</v>
      </c>
      <c r="P552" s="191">
        <v>0</v>
      </c>
    </row>
    <row r="553" spans="1:16" x14ac:dyDescent="0.25">
      <c r="A553" s="190">
        <v>801010402</v>
      </c>
      <c r="B553" s="190" t="s">
        <v>434</v>
      </c>
      <c r="C553" s="190">
        <v>2511</v>
      </c>
      <c r="D553" s="190" t="s">
        <v>408</v>
      </c>
      <c r="E553" s="191">
        <v>0</v>
      </c>
      <c r="F553" s="191">
        <v>0</v>
      </c>
      <c r="G553" s="191">
        <v>0</v>
      </c>
      <c r="H553" s="191">
        <v>0</v>
      </c>
      <c r="I553" s="191">
        <v>0</v>
      </c>
      <c r="J553" s="191">
        <v>0</v>
      </c>
      <c r="K553" s="191">
        <v>0</v>
      </c>
      <c r="L553" s="191">
        <v>0</v>
      </c>
      <c r="M553" s="191">
        <v>0</v>
      </c>
      <c r="N553" s="193">
        <v>4524.22</v>
      </c>
      <c r="O553" s="193">
        <v>7951.8</v>
      </c>
      <c r="P553" s="193">
        <v>46354.7</v>
      </c>
    </row>
    <row r="554" spans="1:16" x14ac:dyDescent="0.25">
      <c r="A554" s="190">
        <v>801010402</v>
      </c>
      <c r="B554" s="190" t="s">
        <v>407</v>
      </c>
      <c r="C554" s="190">
        <v>2531</v>
      </c>
      <c r="D554" s="190" t="s">
        <v>408</v>
      </c>
      <c r="E554" s="191">
        <v>0</v>
      </c>
      <c r="F554" s="191">
        <v>0</v>
      </c>
      <c r="G554" s="191">
        <v>0</v>
      </c>
      <c r="H554" s="191">
        <v>0</v>
      </c>
      <c r="I554" s="191">
        <v>0</v>
      </c>
      <c r="J554" s="191">
        <v>0</v>
      </c>
      <c r="K554" s="191">
        <v>0</v>
      </c>
      <c r="L554" s="193">
        <v>2420.69</v>
      </c>
      <c r="M554" s="191">
        <v>0</v>
      </c>
      <c r="N554" s="191">
        <v>0</v>
      </c>
      <c r="O554" s="191">
        <v>0</v>
      </c>
      <c r="P554" s="191">
        <v>0</v>
      </c>
    </row>
    <row r="555" spans="1:16" x14ac:dyDescent="0.25">
      <c r="A555" s="190">
        <v>801010402</v>
      </c>
      <c r="B555" s="190" t="s">
        <v>410</v>
      </c>
      <c r="C555" s="190">
        <v>2531</v>
      </c>
      <c r="D555" s="190" t="s">
        <v>408</v>
      </c>
      <c r="E555" s="191">
        <v>0</v>
      </c>
      <c r="F555" s="191">
        <v>0</v>
      </c>
      <c r="G555" s="191">
        <v>0</v>
      </c>
      <c r="H555" s="191">
        <v>0</v>
      </c>
      <c r="I555" s="191">
        <v>0</v>
      </c>
      <c r="J555" s="191">
        <v>0</v>
      </c>
      <c r="K555" s="191">
        <v>0</v>
      </c>
      <c r="L555" s="191">
        <v>360.76</v>
      </c>
      <c r="M555" s="191">
        <v>0</v>
      </c>
      <c r="N555" s="191">
        <v>0</v>
      </c>
      <c r="O555" s="191">
        <v>0</v>
      </c>
      <c r="P555" s="191">
        <v>0</v>
      </c>
    </row>
    <row r="556" spans="1:16" x14ac:dyDescent="0.25">
      <c r="A556" s="190">
        <v>801010402</v>
      </c>
      <c r="B556" s="190" t="s">
        <v>411</v>
      </c>
      <c r="C556" s="190">
        <v>2531</v>
      </c>
      <c r="D556" s="190" t="s">
        <v>408</v>
      </c>
      <c r="E556" s="191">
        <v>0</v>
      </c>
      <c r="F556" s="191">
        <v>0</v>
      </c>
      <c r="G556" s="191">
        <v>0</v>
      </c>
      <c r="H556" s="191">
        <v>0</v>
      </c>
      <c r="I556" s="191">
        <v>0</v>
      </c>
      <c r="J556" s="191">
        <v>0</v>
      </c>
      <c r="K556" s="191">
        <v>0</v>
      </c>
      <c r="L556" s="191">
        <v>360.76</v>
      </c>
      <c r="M556" s="191">
        <v>0</v>
      </c>
      <c r="N556" s="191">
        <v>0</v>
      </c>
      <c r="O556" s="191">
        <v>0</v>
      </c>
      <c r="P556" s="191">
        <v>0</v>
      </c>
    </row>
    <row r="557" spans="1:16" x14ac:dyDescent="0.25">
      <c r="A557" s="190">
        <v>801010402</v>
      </c>
      <c r="B557" s="190" t="s">
        <v>412</v>
      </c>
      <c r="C557" s="190">
        <v>2531</v>
      </c>
      <c r="D557" s="190" t="s">
        <v>408</v>
      </c>
      <c r="E557" s="191">
        <v>0</v>
      </c>
      <c r="F557" s="191">
        <v>0</v>
      </c>
      <c r="G557" s="191">
        <v>0</v>
      </c>
      <c r="H557" s="191">
        <v>0</v>
      </c>
      <c r="I557" s="191">
        <v>0</v>
      </c>
      <c r="J557" s="191">
        <v>0</v>
      </c>
      <c r="K557" s="191">
        <v>0</v>
      </c>
      <c r="L557" s="191">
        <v>360.76</v>
      </c>
      <c r="M557" s="191">
        <v>0</v>
      </c>
      <c r="N557" s="191">
        <v>0</v>
      </c>
      <c r="O557" s="191">
        <v>0</v>
      </c>
      <c r="P557" s="191">
        <v>0</v>
      </c>
    </row>
    <row r="558" spans="1:16" x14ac:dyDescent="0.25">
      <c r="A558" s="190">
        <v>801010402</v>
      </c>
      <c r="B558" s="190" t="s">
        <v>413</v>
      </c>
      <c r="C558" s="190">
        <v>2531</v>
      </c>
      <c r="D558" s="190" t="s">
        <v>408</v>
      </c>
      <c r="E558" s="191">
        <v>0</v>
      </c>
      <c r="F558" s="191">
        <v>0</v>
      </c>
      <c r="G558" s="191">
        <v>0</v>
      </c>
      <c r="H558" s="191">
        <v>0</v>
      </c>
      <c r="I558" s="191">
        <v>0</v>
      </c>
      <c r="J558" s="191">
        <v>0</v>
      </c>
      <c r="K558" s="191">
        <v>0</v>
      </c>
      <c r="L558" s="191">
        <v>360.76</v>
      </c>
      <c r="M558" s="191">
        <v>0</v>
      </c>
      <c r="N558" s="191">
        <v>0</v>
      </c>
      <c r="O558" s="191">
        <v>0</v>
      </c>
      <c r="P558" s="191">
        <v>0</v>
      </c>
    </row>
    <row r="559" spans="1:16" x14ac:dyDescent="0.25">
      <c r="A559" s="190">
        <v>801010402</v>
      </c>
      <c r="B559" s="190" t="s">
        <v>414</v>
      </c>
      <c r="C559" s="190">
        <v>2531</v>
      </c>
      <c r="D559" s="190" t="s">
        <v>408</v>
      </c>
      <c r="E559" s="191">
        <v>0</v>
      </c>
      <c r="F559" s="191">
        <v>0</v>
      </c>
      <c r="G559" s="191">
        <v>0</v>
      </c>
      <c r="H559" s="191">
        <v>0</v>
      </c>
      <c r="I559" s="191">
        <v>0</v>
      </c>
      <c r="J559" s="191">
        <v>0</v>
      </c>
      <c r="K559" s="191">
        <v>0</v>
      </c>
      <c r="L559" s="191">
        <v>360.76</v>
      </c>
      <c r="M559" s="191">
        <v>0</v>
      </c>
      <c r="N559" s="191">
        <v>0</v>
      </c>
      <c r="O559" s="191">
        <v>0</v>
      </c>
      <c r="P559" s="191">
        <v>0</v>
      </c>
    </row>
    <row r="560" spans="1:16" x14ac:dyDescent="0.25">
      <c r="A560" s="190">
        <v>801010402</v>
      </c>
      <c r="B560" s="190" t="s">
        <v>415</v>
      </c>
      <c r="C560" s="190">
        <v>2531</v>
      </c>
      <c r="D560" s="190" t="s">
        <v>408</v>
      </c>
      <c r="E560" s="191">
        <v>0</v>
      </c>
      <c r="F560" s="191">
        <v>0</v>
      </c>
      <c r="G560" s="191">
        <v>0</v>
      </c>
      <c r="H560" s="191">
        <v>0</v>
      </c>
      <c r="I560" s="191">
        <v>0</v>
      </c>
      <c r="J560" s="191">
        <v>0</v>
      </c>
      <c r="K560" s="191">
        <v>0</v>
      </c>
      <c r="L560" s="191">
        <v>360.76</v>
      </c>
      <c r="M560" s="191">
        <v>0</v>
      </c>
      <c r="N560" s="191">
        <v>0</v>
      </c>
      <c r="O560" s="191">
        <v>0</v>
      </c>
      <c r="P560" s="191">
        <v>0</v>
      </c>
    </row>
    <row r="561" spans="1:16" x14ac:dyDescent="0.25">
      <c r="A561" s="190">
        <v>801010402</v>
      </c>
      <c r="B561" s="190" t="s">
        <v>416</v>
      </c>
      <c r="C561" s="190">
        <v>2531</v>
      </c>
      <c r="D561" s="190" t="s">
        <v>408</v>
      </c>
      <c r="E561" s="191">
        <v>0</v>
      </c>
      <c r="F561" s="191">
        <v>0</v>
      </c>
      <c r="G561" s="191">
        <v>0</v>
      </c>
      <c r="H561" s="191">
        <v>0</v>
      </c>
      <c r="I561" s="191">
        <v>0</v>
      </c>
      <c r="J561" s="191">
        <v>0</v>
      </c>
      <c r="K561" s="191">
        <v>0</v>
      </c>
      <c r="L561" s="191">
        <v>360.76</v>
      </c>
      <c r="M561" s="191">
        <v>0</v>
      </c>
      <c r="N561" s="191">
        <v>0</v>
      </c>
      <c r="O561" s="191">
        <v>0</v>
      </c>
      <c r="P561" s="191">
        <v>0</v>
      </c>
    </row>
    <row r="562" spans="1:16" x14ac:dyDescent="0.25">
      <c r="A562" s="190">
        <v>801010402</v>
      </c>
      <c r="B562" s="190" t="s">
        <v>417</v>
      </c>
      <c r="C562" s="190">
        <v>2531</v>
      </c>
      <c r="D562" s="190" t="s">
        <v>408</v>
      </c>
      <c r="E562" s="191">
        <v>0</v>
      </c>
      <c r="F562" s="191">
        <v>0</v>
      </c>
      <c r="G562" s="191">
        <v>0</v>
      </c>
      <c r="H562" s="191">
        <v>0</v>
      </c>
      <c r="I562" s="191">
        <v>0</v>
      </c>
      <c r="J562" s="191">
        <v>0</v>
      </c>
      <c r="K562" s="191">
        <v>0</v>
      </c>
      <c r="L562" s="191">
        <v>360.76</v>
      </c>
      <c r="M562" s="191">
        <v>0</v>
      </c>
      <c r="N562" s="191">
        <v>0</v>
      </c>
      <c r="O562" s="191">
        <v>0</v>
      </c>
      <c r="P562" s="191">
        <v>0</v>
      </c>
    </row>
    <row r="563" spans="1:16" x14ac:dyDescent="0.25">
      <c r="A563" s="190">
        <v>801010402</v>
      </c>
      <c r="B563" s="190" t="s">
        <v>419</v>
      </c>
      <c r="C563" s="190">
        <v>2531</v>
      </c>
      <c r="D563" s="190" t="s">
        <v>408</v>
      </c>
      <c r="E563" s="191">
        <v>0</v>
      </c>
      <c r="F563" s="191">
        <v>0</v>
      </c>
      <c r="G563" s="191">
        <v>0</v>
      </c>
      <c r="H563" s="191">
        <v>0</v>
      </c>
      <c r="I563" s="191">
        <v>0</v>
      </c>
      <c r="J563" s="191">
        <v>0</v>
      </c>
      <c r="K563" s="191">
        <v>0</v>
      </c>
      <c r="L563" s="191">
        <v>360.76</v>
      </c>
      <c r="M563" s="191">
        <v>0</v>
      </c>
      <c r="N563" s="191">
        <v>0</v>
      </c>
      <c r="O563" s="191">
        <v>0</v>
      </c>
      <c r="P563" s="191">
        <v>0</v>
      </c>
    </row>
    <row r="564" spans="1:16" x14ac:dyDescent="0.25">
      <c r="A564" s="190">
        <v>801010402</v>
      </c>
      <c r="B564" s="190" t="s">
        <v>420</v>
      </c>
      <c r="C564" s="190">
        <v>2531</v>
      </c>
      <c r="D564" s="190" t="s">
        <v>408</v>
      </c>
      <c r="E564" s="191">
        <v>0</v>
      </c>
      <c r="F564" s="191">
        <v>0</v>
      </c>
      <c r="G564" s="191">
        <v>0</v>
      </c>
      <c r="H564" s="191">
        <v>0</v>
      </c>
      <c r="I564" s="191">
        <v>0</v>
      </c>
      <c r="J564" s="191">
        <v>0</v>
      </c>
      <c r="K564" s="191">
        <v>0</v>
      </c>
      <c r="L564" s="191">
        <v>360.76</v>
      </c>
      <c r="M564" s="191">
        <v>0</v>
      </c>
      <c r="N564" s="191">
        <v>0</v>
      </c>
      <c r="O564" s="191">
        <v>0</v>
      </c>
      <c r="P564" s="191">
        <v>0</v>
      </c>
    </row>
    <row r="565" spans="1:16" x14ac:dyDescent="0.25">
      <c r="A565" s="190">
        <v>801010402</v>
      </c>
      <c r="B565" s="190" t="s">
        <v>421</v>
      </c>
      <c r="C565" s="190">
        <v>2531</v>
      </c>
      <c r="D565" s="190" t="s">
        <v>408</v>
      </c>
      <c r="E565" s="191">
        <v>0</v>
      </c>
      <c r="F565" s="191">
        <v>0</v>
      </c>
      <c r="G565" s="191">
        <v>0</v>
      </c>
      <c r="H565" s="191">
        <v>0</v>
      </c>
      <c r="I565" s="191">
        <v>0</v>
      </c>
      <c r="J565" s="191">
        <v>0</v>
      </c>
      <c r="K565" s="191">
        <v>0</v>
      </c>
      <c r="L565" s="191">
        <v>360.76</v>
      </c>
      <c r="M565" s="191">
        <v>0</v>
      </c>
      <c r="N565" s="191">
        <v>0</v>
      </c>
      <c r="O565" s="191">
        <v>0</v>
      </c>
      <c r="P565" s="191">
        <v>0</v>
      </c>
    </row>
    <row r="566" spans="1:16" x14ac:dyDescent="0.25">
      <c r="A566" s="190">
        <v>801010402</v>
      </c>
      <c r="B566" s="190" t="s">
        <v>422</v>
      </c>
      <c r="C566" s="190">
        <v>2531</v>
      </c>
      <c r="D566" s="190" t="s">
        <v>408</v>
      </c>
      <c r="E566" s="191">
        <v>0</v>
      </c>
      <c r="F566" s="191">
        <v>0</v>
      </c>
      <c r="G566" s="191">
        <v>0</v>
      </c>
      <c r="H566" s="191">
        <v>0</v>
      </c>
      <c r="I566" s="191">
        <v>0</v>
      </c>
      <c r="J566" s="191">
        <v>0</v>
      </c>
      <c r="K566" s="191">
        <v>0</v>
      </c>
      <c r="L566" s="191">
        <v>360.76</v>
      </c>
      <c r="M566" s="191">
        <v>0</v>
      </c>
      <c r="N566" s="191">
        <v>0</v>
      </c>
      <c r="O566" s="191">
        <v>0</v>
      </c>
      <c r="P566" s="191">
        <v>0</v>
      </c>
    </row>
    <row r="567" spans="1:16" x14ac:dyDescent="0.25">
      <c r="A567" s="190">
        <v>801010402</v>
      </c>
      <c r="B567" s="190" t="s">
        <v>423</v>
      </c>
      <c r="C567" s="190">
        <v>2531</v>
      </c>
      <c r="D567" s="190" t="s">
        <v>408</v>
      </c>
      <c r="E567" s="191">
        <v>0</v>
      </c>
      <c r="F567" s="191">
        <v>0</v>
      </c>
      <c r="G567" s="191">
        <v>0</v>
      </c>
      <c r="H567" s="191">
        <v>0</v>
      </c>
      <c r="I567" s="191">
        <v>0</v>
      </c>
      <c r="J567" s="191">
        <v>0</v>
      </c>
      <c r="K567" s="191">
        <v>0</v>
      </c>
      <c r="L567" s="191">
        <v>360.76</v>
      </c>
      <c r="M567" s="191">
        <v>0</v>
      </c>
      <c r="N567" s="191">
        <v>0</v>
      </c>
      <c r="O567" s="191">
        <v>0</v>
      </c>
      <c r="P567" s="191">
        <v>0</v>
      </c>
    </row>
    <row r="568" spans="1:16" x14ac:dyDescent="0.25">
      <c r="A568" s="190">
        <v>801010402</v>
      </c>
      <c r="B568" s="190" t="s">
        <v>424</v>
      </c>
      <c r="C568" s="190">
        <v>2531</v>
      </c>
      <c r="D568" s="190" t="s">
        <v>408</v>
      </c>
      <c r="E568" s="191">
        <v>0</v>
      </c>
      <c r="F568" s="191">
        <v>0</v>
      </c>
      <c r="G568" s="191">
        <v>0</v>
      </c>
      <c r="H568" s="191">
        <v>0</v>
      </c>
      <c r="I568" s="191">
        <v>0</v>
      </c>
      <c r="J568" s="191">
        <v>0</v>
      </c>
      <c r="K568" s="191">
        <v>0</v>
      </c>
      <c r="L568" s="191">
        <v>360.76</v>
      </c>
      <c r="M568" s="191">
        <v>0</v>
      </c>
      <c r="N568" s="191">
        <v>0</v>
      </c>
      <c r="O568" s="191">
        <v>0</v>
      </c>
      <c r="P568" s="191">
        <v>0</v>
      </c>
    </row>
    <row r="569" spans="1:16" x14ac:dyDescent="0.25">
      <c r="A569" s="190">
        <v>801010402</v>
      </c>
      <c r="B569" s="190" t="s">
        <v>425</v>
      </c>
      <c r="C569" s="190">
        <v>2531</v>
      </c>
      <c r="D569" s="190" t="s">
        <v>408</v>
      </c>
      <c r="E569" s="191">
        <v>0</v>
      </c>
      <c r="F569" s="191">
        <v>0</v>
      </c>
      <c r="G569" s="191">
        <v>0</v>
      </c>
      <c r="H569" s="191">
        <v>0</v>
      </c>
      <c r="I569" s="191">
        <v>0</v>
      </c>
      <c r="J569" s="191">
        <v>0</v>
      </c>
      <c r="K569" s="191">
        <v>0</v>
      </c>
      <c r="L569" s="191">
        <v>360.76</v>
      </c>
      <c r="M569" s="191">
        <v>0</v>
      </c>
      <c r="N569" s="191">
        <v>0</v>
      </c>
      <c r="O569" s="191">
        <v>0</v>
      </c>
      <c r="P569" s="191">
        <v>0</v>
      </c>
    </row>
    <row r="570" spans="1:16" x14ac:dyDescent="0.25">
      <c r="A570" s="190">
        <v>801010402</v>
      </c>
      <c r="B570" s="190" t="s">
        <v>426</v>
      </c>
      <c r="C570" s="190">
        <v>2531</v>
      </c>
      <c r="D570" s="190" t="s">
        <v>408</v>
      </c>
      <c r="E570" s="191">
        <v>0</v>
      </c>
      <c r="F570" s="191">
        <v>0</v>
      </c>
      <c r="G570" s="191">
        <v>0</v>
      </c>
      <c r="H570" s="191">
        <v>0</v>
      </c>
      <c r="I570" s="191">
        <v>0</v>
      </c>
      <c r="J570" s="191">
        <v>0</v>
      </c>
      <c r="K570" s="191">
        <v>0</v>
      </c>
      <c r="L570" s="191">
        <v>360.76</v>
      </c>
      <c r="M570" s="191">
        <v>0</v>
      </c>
      <c r="N570" s="191">
        <v>0</v>
      </c>
      <c r="O570" s="191">
        <v>0</v>
      </c>
      <c r="P570" s="191">
        <v>0</v>
      </c>
    </row>
    <row r="571" spans="1:16" x14ac:dyDescent="0.25">
      <c r="A571" s="190">
        <v>801010402</v>
      </c>
      <c r="B571" s="190" t="s">
        <v>427</v>
      </c>
      <c r="C571" s="190">
        <v>2531</v>
      </c>
      <c r="D571" s="190" t="s">
        <v>408</v>
      </c>
      <c r="E571" s="191">
        <v>0</v>
      </c>
      <c r="F571" s="191">
        <v>0</v>
      </c>
      <c r="G571" s="191">
        <v>0</v>
      </c>
      <c r="H571" s="191">
        <v>0</v>
      </c>
      <c r="I571" s="191">
        <v>0</v>
      </c>
      <c r="J571" s="191">
        <v>0</v>
      </c>
      <c r="K571" s="191">
        <v>0</v>
      </c>
      <c r="L571" s="191">
        <v>360.76</v>
      </c>
      <c r="M571" s="191">
        <v>0</v>
      </c>
      <c r="N571" s="191">
        <v>0</v>
      </c>
      <c r="O571" s="191">
        <v>0</v>
      </c>
      <c r="P571" s="191">
        <v>0</v>
      </c>
    </row>
    <row r="572" spans="1:16" x14ac:dyDescent="0.25">
      <c r="A572" s="190">
        <v>801010402</v>
      </c>
      <c r="B572" s="190" t="s">
        <v>428</v>
      </c>
      <c r="C572" s="190">
        <v>2531</v>
      </c>
      <c r="D572" s="190" t="s">
        <v>408</v>
      </c>
      <c r="E572" s="191">
        <v>0</v>
      </c>
      <c r="F572" s="191">
        <v>0</v>
      </c>
      <c r="G572" s="191">
        <v>0</v>
      </c>
      <c r="H572" s="191">
        <v>0</v>
      </c>
      <c r="I572" s="191">
        <v>0</v>
      </c>
      <c r="J572" s="191">
        <v>0</v>
      </c>
      <c r="K572" s="191">
        <v>0</v>
      </c>
      <c r="L572" s="191">
        <v>360.76</v>
      </c>
      <c r="M572" s="191">
        <v>0</v>
      </c>
      <c r="N572" s="191">
        <v>0</v>
      </c>
      <c r="O572" s="191">
        <v>0</v>
      </c>
      <c r="P572" s="191">
        <v>0</v>
      </c>
    </row>
    <row r="573" spans="1:16" x14ac:dyDescent="0.25">
      <c r="A573" s="190">
        <v>801010402</v>
      </c>
      <c r="B573" s="190" t="s">
        <v>429</v>
      </c>
      <c r="C573" s="190">
        <v>2531</v>
      </c>
      <c r="D573" s="190" t="s">
        <v>408</v>
      </c>
      <c r="E573" s="191">
        <v>0</v>
      </c>
      <c r="F573" s="191">
        <v>0</v>
      </c>
      <c r="G573" s="191">
        <v>0</v>
      </c>
      <c r="H573" s="191">
        <v>0</v>
      </c>
      <c r="I573" s="191">
        <v>0</v>
      </c>
      <c r="J573" s="191">
        <v>0</v>
      </c>
      <c r="K573" s="191">
        <v>0</v>
      </c>
      <c r="L573" s="191">
        <v>360.76</v>
      </c>
      <c r="M573" s="191">
        <v>0</v>
      </c>
      <c r="N573" s="191">
        <v>0</v>
      </c>
      <c r="O573" s="191">
        <v>0</v>
      </c>
      <c r="P573" s="191">
        <v>0</v>
      </c>
    </row>
    <row r="574" spans="1:16" x14ac:dyDescent="0.25">
      <c r="A574" s="190">
        <v>801010402</v>
      </c>
      <c r="B574" s="190" t="s">
        <v>430</v>
      </c>
      <c r="C574" s="190">
        <v>2531</v>
      </c>
      <c r="D574" s="190" t="s">
        <v>408</v>
      </c>
      <c r="E574" s="191">
        <v>0</v>
      </c>
      <c r="F574" s="191">
        <v>0</v>
      </c>
      <c r="G574" s="191">
        <v>0</v>
      </c>
      <c r="H574" s="191">
        <v>0</v>
      </c>
      <c r="I574" s="191">
        <v>0</v>
      </c>
      <c r="J574" s="191">
        <v>0</v>
      </c>
      <c r="K574" s="191">
        <v>0</v>
      </c>
      <c r="L574" s="191">
        <v>360.76</v>
      </c>
      <c r="M574" s="191">
        <v>0</v>
      </c>
      <c r="N574" s="191">
        <v>0</v>
      </c>
      <c r="O574" s="191">
        <v>0</v>
      </c>
      <c r="P574" s="191">
        <v>0</v>
      </c>
    </row>
    <row r="575" spans="1:16" x14ac:dyDescent="0.25">
      <c r="A575" s="190">
        <v>801010402</v>
      </c>
      <c r="B575" s="190" t="s">
        <v>431</v>
      </c>
      <c r="C575" s="190">
        <v>2531</v>
      </c>
      <c r="D575" s="190" t="s">
        <v>408</v>
      </c>
      <c r="E575" s="191">
        <v>0</v>
      </c>
      <c r="F575" s="191">
        <v>0</v>
      </c>
      <c r="G575" s="191">
        <v>0</v>
      </c>
      <c r="H575" s="191">
        <v>0</v>
      </c>
      <c r="I575" s="191">
        <v>0</v>
      </c>
      <c r="J575" s="191">
        <v>0</v>
      </c>
      <c r="K575" s="191">
        <v>0</v>
      </c>
      <c r="L575" s="191">
        <v>360.76</v>
      </c>
      <c r="M575" s="191">
        <v>0</v>
      </c>
      <c r="N575" s="191">
        <v>0</v>
      </c>
      <c r="O575" s="191">
        <v>0</v>
      </c>
      <c r="P575" s="191">
        <v>0</v>
      </c>
    </row>
    <row r="576" spans="1:16" x14ac:dyDescent="0.25">
      <c r="A576" s="190">
        <v>801010402</v>
      </c>
      <c r="B576" s="190" t="s">
        <v>432</v>
      </c>
      <c r="C576" s="190">
        <v>2531</v>
      </c>
      <c r="D576" s="190" t="s">
        <v>408</v>
      </c>
      <c r="E576" s="191">
        <v>0</v>
      </c>
      <c r="F576" s="191">
        <v>0</v>
      </c>
      <c r="G576" s="191">
        <v>0</v>
      </c>
      <c r="H576" s="191">
        <v>0</v>
      </c>
      <c r="I576" s="191">
        <v>0</v>
      </c>
      <c r="J576" s="191">
        <v>0</v>
      </c>
      <c r="K576" s="191">
        <v>0</v>
      </c>
      <c r="L576" s="191">
        <v>360.76</v>
      </c>
      <c r="M576" s="191">
        <v>0</v>
      </c>
      <c r="N576" s="191">
        <v>0</v>
      </c>
      <c r="O576" s="191">
        <v>0</v>
      </c>
      <c r="P576" s="191">
        <v>0</v>
      </c>
    </row>
    <row r="577" spans="1:16" x14ac:dyDescent="0.25">
      <c r="A577" s="190">
        <v>801010402</v>
      </c>
      <c r="B577" s="190" t="s">
        <v>433</v>
      </c>
      <c r="C577" s="190">
        <v>2531</v>
      </c>
      <c r="D577" s="190" t="s">
        <v>408</v>
      </c>
      <c r="E577" s="191">
        <v>0</v>
      </c>
      <c r="F577" s="191">
        <v>0</v>
      </c>
      <c r="G577" s="191">
        <v>0</v>
      </c>
      <c r="H577" s="191">
        <v>0</v>
      </c>
      <c r="I577" s="191">
        <v>0</v>
      </c>
      <c r="J577" s="191">
        <v>0</v>
      </c>
      <c r="K577" s="191">
        <v>0</v>
      </c>
      <c r="L577" s="191">
        <v>360.76</v>
      </c>
      <c r="M577" s="191">
        <v>0</v>
      </c>
      <c r="N577" s="191">
        <v>0</v>
      </c>
      <c r="O577" s="191">
        <v>0</v>
      </c>
      <c r="P577" s="191">
        <v>0</v>
      </c>
    </row>
    <row r="578" spans="1:16" x14ac:dyDescent="0.25">
      <c r="A578" s="190">
        <v>801010402</v>
      </c>
      <c r="B578" s="190" t="s">
        <v>434</v>
      </c>
      <c r="C578" s="190">
        <v>2531</v>
      </c>
      <c r="D578" s="190" t="s">
        <v>408</v>
      </c>
      <c r="E578" s="191">
        <v>0</v>
      </c>
      <c r="F578" s="191">
        <v>0</v>
      </c>
      <c r="G578" s="191">
        <v>0</v>
      </c>
      <c r="H578" s="191">
        <v>0</v>
      </c>
      <c r="I578" s="191">
        <v>0</v>
      </c>
      <c r="J578" s="191">
        <v>0</v>
      </c>
      <c r="K578" s="191">
        <v>0</v>
      </c>
      <c r="L578" s="191">
        <v>360.76</v>
      </c>
      <c r="M578" s="191">
        <v>0</v>
      </c>
      <c r="N578" s="191">
        <v>0</v>
      </c>
      <c r="O578" s="191">
        <v>0</v>
      </c>
      <c r="P578" s="191">
        <v>0</v>
      </c>
    </row>
    <row r="579" spans="1:16" x14ac:dyDescent="0.25">
      <c r="A579" s="190">
        <v>801010402</v>
      </c>
      <c r="B579" s="190" t="s">
        <v>435</v>
      </c>
      <c r="C579" s="190">
        <v>2531</v>
      </c>
      <c r="D579" s="190" t="s">
        <v>408</v>
      </c>
      <c r="E579" s="191">
        <v>0</v>
      </c>
      <c r="F579" s="191">
        <v>0</v>
      </c>
      <c r="G579" s="191">
        <v>0</v>
      </c>
      <c r="H579" s="191">
        <v>0</v>
      </c>
      <c r="I579" s="191">
        <v>0</v>
      </c>
      <c r="J579" s="191">
        <v>0</v>
      </c>
      <c r="K579" s="191">
        <v>0</v>
      </c>
      <c r="L579" s="191">
        <v>360.76</v>
      </c>
      <c r="M579" s="191">
        <v>0</v>
      </c>
      <c r="N579" s="191">
        <v>0</v>
      </c>
      <c r="O579" s="191">
        <v>0</v>
      </c>
      <c r="P579" s="191">
        <v>0</v>
      </c>
    </row>
    <row r="580" spans="1:16" x14ac:dyDescent="0.25">
      <c r="A580" s="190">
        <v>801010402</v>
      </c>
      <c r="B580" s="190" t="s">
        <v>436</v>
      </c>
      <c r="C580" s="190">
        <v>2531</v>
      </c>
      <c r="D580" s="190" t="s">
        <v>408</v>
      </c>
      <c r="E580" s="191">
        <v>0</v>
      </c>
      <c r="F580" s="191">
        <v>0</v>
      </c>
      <c r="G580" s="191">
        <v>0</v>
      </c>
      <c r="H580" s="191">
        <v>0</v>
      </c>
      <c r="I580" s="191">
        <v>0</v>
      </c>
      <c r="J580" s="191">
        <v>0</v>
      </c>
      <c r="K580" s="191">
        <v>0</v>
      </c>
      <c r="L580" s="191">
        <v>360.76</v>
      </c>
      <c r="M580" s="191">
        <v>0</v>
      </c>
      <c r="N580" s="191">
        <v>0</v>
      </c>
      <c r="O580" s="191">
        <v>0</v>
      </c>
      <c r="P580" s="191">
        <v>0</v>
      </c>
    </row>
    <row r="581" spans="1:16" x14ac:dyDescent="0.25">
      <c r="A581" s="190">
        <v>801010402</v>
      </c>
      <c r="B581" s="190" t="s">
        <v>437</v>
      </c>
      <c r="C581" s="190">
        <v>2531</v>
      </c>
      <c r="D581" s="190" t="s">
        <v>408</v>
      </c>
      <c r="E581" s="191">
        <v>0</v>
      </c>
      <c r="F581" s="191">
        <v>0</v>
      </c>
      <c r="G581" s="191">
        <v>0</v>
      </c>
      <c r="H581" s="191">
        <v>0</v>
      </c>
      <c r="I581" s="191">
        <v>0</v>
      </c>
      <c r="J581" s="191">
        <v>0</v>
      </c>
      <c r="K581" s="191">
        <v>0</v>
      </c>
      <c r="L581" s="193">
        <v>1699.17</v>
      </c>
      <c r="M581" s="191">
        <v>0</v>
      </c>
      <c r="N581" s="191">
        <v>0</v>
      </c>
      <c r="O581" s="191">
        <v>0</v>
      </c>
      <c r="P581" s="191">
        <v>0</v>
      </c>
    </row>
    <row r="582" spans="1:16" x14ac:dyDescent="0.25">
      <c r="A582" s="190">
        <v>801010402</v>
      </c>
      <c r="B582" s="190" t="s">
        <v>407</v>
      </c>
      <c r="C582" s="190">
        <v>2541</v>
      </c>
      <c r="D582" s="190" t="s">
        <v>408</v>
      </c>
      <c r="E582" s="191">
        <v>0</v>
      </c>
      <c r="F582" s="191">
        <v>0</v>
      </c>
      <c r="G582" s="191">
        <v>0</v>
      </c>
      <c r="H582" s="191">
        <v>0</v>
      </c>
      <c r="I582" s="191">
        <v>0</v>
      </c>
      <c r="J582" s="191">
        <v>0</v>
      </c>
      <c r="K582" s="191">
        <v>0</v>
      </c>
      <c r="L582" s="191">
        <v>452.85</v>
      </c>
      <c r="M582" s="191">
        <v>0</v>
      </c>
      <c r="N582" s="191">
        <v>0</v>
      </c>
      <c r="O582" s="191">
        <v>0</v>
      </c>
      <c r="P582" s="191">
        <v>0</v>
      </c>
    </row>
    <row r="583" spans="1:16" x14ac:dyDescent="0.25">
      <c r="A583" s="190">
        <v>801010402</v>
      </c>
      <c r="B583" s="190" t="s">
        <v>410</v>
      </c>
      <c r="C583" s="190">
        <v>2541</v>
      </c>
      <c r="D583" s="190" t="s">
        <v>408</v>
      </c>
      <c r="E583" s="191">
        <v>0</v>
      </c>
      <c r="F583" s="191">
        <v>0</v>
      </c>
      <c r="G583" s="191">
        <v>0</v>
      </c>
      <c r="H583" s="191">
        <v>0</v>
      </c>
      <c r="I583" s="191">
        <v>0</v>
      </c>
      <c r="J583" s="191">
        <v>0</v>
      </c>
      <c r="K583" s="191">
        <v>0</v>
      </c>
      <c r="L583" s="191">
        <v>150.91</v>
      </c>
      <c r="M583" s="191">
        <v>0</v>
      </c>
      <c r="N583" s="191">
        <v>0</v>
      </c>
      <c r="O583" s="191">
        <v>0</v>
      </c>
      <c r="P583" s="191">
        <v>0</v>
      </c>
    </row>
    <row r="584" spans="1:16" x14ac:dyDescent="0.25">
      <c r="A584" s="190">
        <v>801010402</v>
      </c>
      <c r="B584" s="190" t="s">
        <v>411</v>
      </c>
      <c r="C584" s="190">
        <v>2541</v>
      </c>
      <c r="D584" s="190" t="s">
        <v>408</v>
      </c>
      <c r="E584" s="191">
        <v>0</v>
      </c>
      <c r="F584" s="191">
        <v>0</v>
      </c>
      <c r="G584" s="191">
        <v>0</v>
      </c>
      <c r="H584" s="191">
        <v>0</v>
      </c>
      <c r="I584" s="191">
        <v>0</v>
      </c>
      <c r="J584" s="191">
        <v>0</v>
      </c>
      <c r="K584" s="191">
        <v>0</v>
      </c>
      <c r="L584" s="191">
        <v>150.91</v>
      </c>
      <c r="M584" s="191">
        <v>0</v>
      </c>
      <c r="N584" s="191">
        <v>0</v>
      </c>
      <c r="O584" s="191">
        <v>0</v>
      </c>
      <c r="P584" s="191">
        <v>0</v>
      </c>
    </row>
    <row r="585" spans="1:16" x14ac:dyDescent="0.25">
      <c r="A585" s="190">
        <v>801010402</v>
      </c>
      <c r="B585" s="190" t="s">
        <v>412</v>
      </c>
      <c r="C585" s="190">
        <v>2541</v>
      </c>
      <c r="D585" s="190" t="s">
        <v>408</v>
      </c>
      <c r="E585" s="191">
        <v>0</v>
      </c>
      <c r="F585" s="191">
        <v>0</v>
      </c>
      <c r="G585" s="191">
        <v>0</v>
      </c>
      <c r="H585" s="191">
        <v>0</v>
      </c>
      <c r="I585" s="191">
        <v>0</v>
      </c>
      <c r="J585" s="191">
        <v>0</v>
      </c>
      <c r="K585" s="191">
        <v>0</v>
      </c>
      <c r="L585" s="191">
        <v>150.91</v>
      </c>
      <c r="M585" s="191">
        <v>0</v>
      </c>
      <c r="N585" s="191">
        <v>0</v>
      </c>
      <c r="O585" s="191">
        <v>0</v>
      </c>
      <c r="P585" s="191">
        <v>0</v>
      </c>
    </row>
    <row r="586" spans="1:16" x14ac:dyDescent="0.25">
      <c r="A586" s="190">
        <v>801010402</v>
      </c>
      <c r="B586" s="190" t="s">
        <v>413</v>
      </c>
      <c r="C586" s="190">
        <v>2541</v>
      </c>
      <c r="D586" s="190" t="s">
        <v>408</v>
      </c>
      <c r="E586" s="191">
        <v>0</v>
      </c>
      <c r="F586" s="191">
        <v>0</v>
      </c>
      <c r="G586" s="191">
        <v>0</v>
      </c>
      <c r="H586" s="191">
        <v>0</v>
      </c>
      <c r="I586" s="191">
        <v>0</v>
      </c>
      <c r="J586" s="191">
        <v>0</v>
      </c>
      <c r="K586" s="191">
        <v>0</v>
      </c>
      <c r="L586" s="191">
        <v>150.91</v>
      </c>
      <c r="M586" s="191">
        <v>0</v>
      </c>
      <c r="N586" s="191">
        <v>0</v>
      </c>
      <c r="O586" s="191">
        <v>0</v>
      </c>
      <c r="P586" s="191">
        <v>0</v>
      </c>
    </row>
    <row r="587" spans="1:16" x14ac:dyDescent="0.25">
      <c r="A587" s="190">
        <v>801010402</v>
      </c>
      <c r="B587" s="190" t="s">
        <v>414</v>
      </c>
      <c r="C587" s="190">
        <v>2541</v>
      </c>
      <c r="D587" s="190" t="s">
        <v>408</v>
      </c>
      <c r="E587" s="191">
        <v>0</v>
      </c>
      <c r="F587" s="191">
        <v>0</v>
      </c>
      <c r="G587" s="191">
        <v>0</v>
      </c>
      <c r="H587" s="191">
        <v>0</v>
      </c>
      <c r="I587" s="191">
        <v>0</v>
      </c>
      <c r="J587" s="191">
        <v>0</v>
      </c>
      <c r="K587" s="191">
        <v>0</v>
      </c>
      <c r="L587" s="191">
        <v>150.91</v>
      </c>
      <c r="M587" s="191">
        <v>0</v>
      </c>
      <c r="N587" s="191">
        <v>0</v>
      </c>
      <c r="O587" s="191">
        <v>0</v>
      </c>
      <c r="P587" s="191">
        <v>0</v>
      </c>
    </row>
    <row r="588" spans="1:16" x14ac:dyDescent="0.25">
      <c r="A588" s="190">
        <v>801010402</v>
      </c>
      <c r="B588" s="190" t="s">
        <v>415</v>
      </c>
      <c r="C588" s="190">
        <v>2541</v>
      </c>
      <c r="D588" s="190" t="s">
        <v>408</v>
      </c>
      <c r="E588" s="191">
        <v>0</v>
      </c>
      <c r="F588" s="191">
        <v>0</v>
      </c>
      <c r="G588" s="191">
        <v>0</v>
      </c>
      <c r="H588" s="191">
        <v>0</v>
      </c>
      <c r="I588" s="191">
        <v>0</v>
      </c>
      <c r="J588" s="191">
        <v>0</v>
      </c>
      <c r="K588" s="191">
        <v>0</v>
      </c>
      <c r="L588" s="191">
        <v>150.91</v>
      </c>
      <c r="M588" s="191">
        <v>0</v>
      </c>
      <c r="N588" s="191">
        <v>0</v>
      </c>
      <c r="O588" s="191">
        <v>0</v>
      </c>
      <c r="P588" s="191">
        <v>0</v>
      </c>
    </row>
    <row r="589" spans="1:16" x14ac:dyDescent="0.25">
      <c r="A589" s="190">
        <v>801010402</v>
      </c>
      <c r="B589" s="190" t="s">
        <v>416</v>
      </c>
      <c r="C589" s="190">
        <v>2541</v>
      </c>
      <c r="D589" s="190" t="s">
        <v>408</v>
      </c>
      <c r="E589" s="191">
        <v>0</v>
      </c>
      <c r="F589" s="191">
        <v>0</v>
      </c>
      <c r="G589" s="191">
        <v>0</v>
      </c>
      <c r="H589" s="191">
        <v>0</v>
      </c>
      <c r="I589" s="191">
        <v>0</v>
      </c>
      <c r="J589" s="191">
        <v>0</v>
      </c>
      <c r="K589" s="191">
        <v>0</v>
      </c>
      <c r="L589" s="191">
        <v>150.91</v>
      </c>
      <c r="M589" s="191">
        <v>0</v>
      </c>
      <c r="N589" s="191">
        <v>0</v>
      </c>
      <c r="O589" s="191">
        <v>0</v>
      </c>
      <c r="P589" s="191">
        <v>0</v>
      </c>
    </row>
    <row r="590" spans="1:16" x14ac:dyDescent="0.25">
      <c r="A590" s="190">
        <v>801010402</v>
      </c>
      <c r="B590" s="190" t="s">
        <v>417</v>
      </c>
      <c r="C590" s="190">
        <v>2541</v>
      </c>
      <c r="D590" s="190" t="s">
        <v>408</v>
      </c>
      <c r="E590" s="191">
        <v>0</v>
      </c>
      <c r="F590" s="191">
        <v>0</v>
      </c>
      <c r="G590" s="191">
        <v>0</v>
      </c>
      <c r="H590" s="191">
        <v>0</v>
      </c>
      <c r="I590" s="191">
        <v>0</v>
      </c>
      <c r="J590" s="191">
        <v>0</v>
      </c>
      <c r="K590" s="191">
        <v>0</v>
      </c>
      <c r="L590" s="191">
        <v>150.91</v>
      </c>
      <c r="M590" s="191">
        <v>0</v>
      </c>
      <c r="N590" s="191">
        <v>0</v>
      </c>
      <c r="O590" s="191">
        <v>0</v>
      </c>
      <c r="P590" s="191">
        <v>0</v>
      </c>
    </row>
    <row r="591" spans="1:16" x14ac:dyDescent="0.25">
      <c r="A591" s="190">
        <v>801010402</v>
      </c>
      <c r="B591" s="190" t="s">
        <v>419</v>
      </c>
      <c r="C591" s="190">
        <v>2541</v>
      </c>
      <c r="D591" s="190" t="s">
        <v>408</v>
      </c>
      <c r="E591" s="191">
        <v>0</v>
      </c>
      <c r="F591" s="191">
        <v>0</v>
      </c>
      <c r="G591" s="191">
        <v>0</v>
      </c>
      <c r="H591" s="191">
        <v>0</v>
      </c>
      <c r="I591" s="191">
        <v>0</v>
      </c>
      <c r="J591" s="191">
        <v>0</v>
      </c>
      <c r="K591" s="191">
        <v>0</v>
      </c>
      <c r="L591" s="191">
        <v>150.91</v>
      </c>
      <c r="M591" s="191">
        <v>0</v>
      </c>
      <c r="N591" s="191">
        <v>0</v>
      </c>
      <c r="O591" s="191">
        <v>0</v>
      </c>
      <c r="P591" s="191">
        <v>0</v>
      </c>
    </row>
    <row r="592" spans="1:16" x14ac:dyDescent="0.25">
      <c r="A592" s="190">
        <v>801010402</v>
      </c>
      <c r="B592" s="190" t="s">
        <v>420</v>
      </c>
      <c r="C592" s="190">
        <v>2541</v>
      </c>
      <c r="D592" s="190" t="s">
        <v>408</v>
      </c>
      <c r="E592" s="191">
        <v>0</v>
      </c>
      <c r="F592" s="191">
        <v>0</v>
      </c>
      <c r="G592" s="191">
        <v>0</v>
      </c>
      <c r="H592" s="191">
        <v>0</v>
      </c>
      <c r="I592" s="191">
        <v>0</v>
      </c>
      <c r="J592" s="191">
        <v>0</v>
      </c>
      <c r="K592" s="191">
        <v>0</v>
      </c>
      <c r="L592" s="191">
        <v>150.91</v>
      </c>
      <c r="M592" s="191">
        <v>0</v>
      </c>
      <c r="N592" s="191">
        <v>0</v>
      </c>
      <c r="O592" s="191">
        <v>0</v>
      </c>
      <c r="P592" s="191">
        <v>0</v>
      </c>
    </row>
    <row r="593" spans="1:16" x14ac:dyDescent="0.25">
      <c r="A593" s="190">
        <v>801010402</v>
      </c>
      <c r="B593" s="190" t="s">
        <v>421</v>
      </c>
      <c r="C593" s="190">
        <v>2541</v>
      </c>
      <c r="D593" s="190" t="s">
        <v>408</v>
      </c>
      <c r="E593" s="191">
        <v>0</v>
      </c>
      <c r="F593" s="191">
        <v>0</v>
      </c>
      <c r="G593" s="191">
        <v>0</v>
      </c>
      <c r="H593" s="191">
        <v>0</v>
      </c>
      <c r="I593" s="191">
        <v>0</v>
      </c>
      <c r="J593" s="191">
        <v>0</v>
      </c>
      <c r="K593" s="191">
        <v>0</v>
      </c>
      <c r="L593" s="191">
        <v>150.91</v>
      </c>
      <c r="M593" s="191">
        <v>0</v>
      </c>
      <c r="N593" s="191">
        <v>0</v>
      </c>
      <c r="O593" s="191">
        <v>0</v>
      </c>
      <c r="P593" s="191">
        <v>0</v>
      </c>
    </row>
    <row r="594" spans="1:16" x14ac:dyDescent="0.25">
      <c r="A594" s="190">
        <v>801010402</v>
      </c>
      <c r="B594" s="190" t="s">
        <v>422</v>
      </c>
      <c r="C594" s="190">
        <v>2541</v>
      </c>
      <c r="D594" s="190" t="s">
        <v>408</v>
      </c>
      <c r="E594" s="191">
        <v>0</v>
      </c>
      <c r="F594" s="191">
        <v>0</v>
      </c>
      <c r="G594" s="191">
        <v>0</v>
      </c>
      <c r="H594" s="191">
        <v>0</v>
      </c>
      <c r="I594" s="191">
        <v>0</v>
      </c>
      <c r="J594" s="191">
        <v>0</v>
      </c>
      <c r="K594" s="191">
        <v>0</v>
      </c>
      <c r="L594" s="191">
        <v>150.91</v>
      </c>
      <c r="M594" s="191">
        <v>0</v>
      </c>
      <c r="N594" s="191">
        <v>0</v>
      </c>
      <c r="O594" s="191">
        <v>0</v>
      </c>
      <c r="P594" s="191">
        <v>0</v>
      </c>
    </row>
    <row r="595" spans="1:16" x14ac:dyDescent="0.25">
      <c r="A595" s="190">
        <v>801010402</v>
      </c>
      <c r="B595" s="190" t="s">
        <v>423</v>
      </c>
      <c r="C595" s="190">
        <v>2541</v>
      </c>
      <c r="D595" s="190" t="s">
        <v>408</v>
      </c>
      <c r="E595" s="191">
        <v>0</v>
      </c>
      <c r="F595" s="191">
        <v>0</v>
      </c>
      <c r="G595" s="191">
        <v>0</v>
      </c>
      <c r="H595" s="191">
        <v>0</v>
      </c>
      <c r="I595" s="191">
        <v>0</v>
      </c>
      <c r="J595" s="191">
        <v>0</v>
      </c>
      <c r="K595" s="191">
        <v>0</v>
      </c>
      <c r="L595" s="191">
        <v>301.82</v>
      </c>
      <c r="M595" s="191">
        <v>0</v>
      </c>
      <c r="N595" s="191">
        <v>0</v>
      </c>
      <c r="O595" s="191">
        <v>0</v>
      </c>
      <c r="P595" s="191">
        <v>0</v>
      </c>
    </row>
    <row r="596" spans="1:16" x14ac:dyDescent="0.25">
      <c r="A596" s="190">
        <v>801010402</v>
      </c>
      <c r="B596" s="190" t="s">
        <v>424</v>
      </c>
      <c r="C596" s="190">
        <v>2541</v>
      </c>
      <c r="D596" s="190" t="s">
        <v>408</v>
      </c>
      <c r="E596" s="191">
        <v>0</v>
      </c>
      <c r="F596" s="191">
        <v>0</v>
      </c>
      <c r="G596" s="191">
        <v>0</v>
      </c>
      <c r="H596" s="191">
        <v>0</v>
      </c>
      <c r="I596" s="191">
        <v>0</v>
      </c>
      <c r="J596" s="191">
        <v>0</v>
      </c>
      <c r="K596" s="191">
        <v>0</v>
      </c>
      <c r="L596" s="191">
        <v>150.91</v>
      </c>
      <c r="M596" s="191">
        <v>0</v>
      </c>
      <c r="N596" s="191">
        <v>0</v>
      </c>
      <c r="O596" s="191">
        <v>0</v>
      </c>
      <c r="P596" s="191">
        <v>0</v>
      </c>
    </row>
    <row r="597" spans="1:16" x14ac:dyDescent="0.25">
      <c r="A597" s="190">
        <v>801010402</v>
      </c>
      <c r="B597" s="190" t="s">
        <v>425</v>
      </c>
      <c r="C597" s="190">
        <v>2541</v>
      </c>
      <c r="D597" s="190" t="s">
        <v>408</v>
      </c>
      <c r="E597" s="191">
        <v>0</v>
      </c>
      <c r="F597" s="191">
        <v>0</v>
      </c>
      <c r="G597" s="191">
        <v>0</v>
      </c>
      <c r="H597" s="191">
        <v>0</v>
      </c>
      <c r="I597" s="191">
        <v>0</v>
      </c>
      <c r="J597" s="191">
        <v>0</v>
      </c>
      <c r="K597" s="191">
        <v>0</v>
      </c>
      <c r="L597" s="191">
        <v>150.91</v>
      </c>
      <c r="M597" s="191">
        <v>0</v>
      </c>
      <c r="N597" s="191">
        <v>0</v>
      </c>
      <c r="O597" s="191">
        <v>0</v>
      </c>
      <c r="P597" s="191">
        <v>0</v>
      </c>
    </row>
    <row r="598" spans="1:16" x14ac:dyDescent="0.25">
      <c r="A598" s="190">
        <v>801010402</v>
      </c>
      <c r="B598" s="190" t="s">
        <v>426</v>
      </c>
      <c r="C598" s="190">
        <v>2541</v>
      </c>
      <c r="D598" s="190" t="s">
        <v>408</v>
      </c>
      <c r="E598" s="191">
        <v>0</v>
      </c>
      <c r="F598" s="191">
        <v>0</v>
      </c>
      <c r="G598" s="191">
        <v>0</v>
      </c>
      <c r="H598" s="191">
        <v>0</v>
      </c>
      <c r="I598" s="191">
        <v>0</v>
      </c>
      <c r="J598" s="191">
        <v>0</v>
      </c>
      <c r="K598" s="191">
        <v>0</v>
      </c>
      <c r="L598" s="191">
        <v>150.91</v>
      </c>
      <c r="M598" s="191">
        <v>0</v>
      </c>
      <c r="N598" s="191">
        <v>0</v>
      </c>
      <c r="O598" s="191">
        <v>0</v>
      </c>
      <c r="P598" s="191">
        <v>0</v>
      </c>
    </row>
    <row r="599" spans="1:16" x14ac:dyDescent="0.25">
      <c r="A599" s="190">
        <v>801010402</v>
      </c>
      <c r="B599" s="190" t="s">
        <v>427</v>
      </c>
      <c r="C599" s="190">
        <v>2541</v>
      </c>
      <c r="D599" s="190" t="s">
        <v>408</v>
      </c>
      <c r="E599" s="191">
        <v>0</v>
      </c>
      <c r="F599" s="191">
        <v>0</v>
      </c>
      <c r="G599" s="191">
        <v>0</v>
      </c>
      <c r="H599" s="191">
        <v>0</v>
      </c>
      <c r="I599" s="191">
        <v>0</v>
      </c>
      <c r="J599" s="191">
        <v>0</v>
      </c>
      <c r="K599" s="191">
        <v>0</v>
      </c>
      <c r="L599" s="191">
        <v>150.91</v>
      </c>
      <c r="M599" s="191">
        <v>0</v>
      </c>
      <c r="N599" s="191">
        <v>0</v>
      </c>
      <c r="O599" s="191">
        <v>0</v>
      </c>
      <c r="P599" s="191">
        <v>0</v>
      </c>
    </row>
    <row r="600" spans="1:16" x14ac:dyDescent="0.25">
      <c r="A600" s="190">
        <v>801010402</v>
      </c>
      <c r="B600" s="190" t="s">
        <v>428</v>
      </c>
      <c r="C600" s="190">
        <v>2541</v>
      </c>
      <c r="D600" s="190" t="s">
        <v>408</v>
      </c>
      <c r="E600" s="191">
        <v>0</v>
      </c>
      <c r="F600" s="191">
        <v>0</v>
      </c>
      <c r="G600" s="191">
        <v>0</v>
      </c>
      <c r="H600" s="191">
        <v>0</v>
      </c>
      <c r="I600" s="191">
        <v>0</v>
      </c>
      <c r="J600" s="191">
        <v>0</v>
      </c>
      <c r="K600" s="191">
        <v>0</v>
      </c>
      <c r="L600" s="191">
        <v>150.91</v>
      </c>
      <c r="M600" s="191">
        <v>0</v>
      </c>
      <c r="N600" s="191">
        <v>0</v>
      </c>
      <c r="O600" s="191">
        <v>0</v>
      </c>
      <c r="P600" s="191">
        <v>0</v>
      </c>
    </row>
    <row r="601" spans="1:16" x14ac:dyDescent="0.25">
      <c r="A601" s="190">
        <v>801010402</v>
      </c>
      <c r="B601" s="190" t="s">
        <v>429</v>
      </c>
      <c r="C601" s="190">
        <v>2541</v>
      </c>
      <c r="D601" s="190" t="s">
        <v>408</v>
      </c>
      <c r="E601" s="191">
        <v>0</v>
      </c>
      <c r="F601" s="191">
        <v>0</v>
      </c>
      <c r="G601" s="191">
        <v>0</v>
      </c>
      <c r="H601" s="191">
        <v>0</v>
      </c>
      <c r="I601" s="191">
        <v>0</v>
      </c>
      <c r="J601" s="191">
        <v>0</v>
      </c>
      <c r="K601" s="191">
        <v>0</v>
      </c>
      <c r="L601" s="191">
        <v>150.91</v>
      </c>
      <c r="M601" s="191">
        <v>0</v>
      </c>
      <c r="N601" s="191">
        <v>0</v>
      </c>
      <c r="O601" s="191">
        <v>0</v>
      </c>
      <c r="P601" s="191">
        <v>0</v>
      </c>
    </row>
    <row r="602" spans="1:16" x14ac:dyDescent="0.25">
      <c r="A602" s="190">
        <v>801010402</v>
      </c>
      <c r="B602" s="190" t="s">
        <v>430</v>
      </c>
      <c r="C602" s="190">
        <v>2541</v>
      </c>
      <c r="D602" s="190" t="s">
        <v>408</v>
      </c>
      <c r="E602" s="191">
        <v>0</v>
      </c>
      <c r="F602" s="191">
        <v>0</v>
      </c>
      <c r="G602" s="191">
        <v>0</v>
      </c>
      <c r="H602" s="191">
        <v>0</v>
      </c>
      <c r="I602" s="191">
        <v>0</v>
      </c>
      <c r="J602" s="191">
        <v>0</v>
      </c>
      <c r="K602" s="191">
        <v>0</v>
      </c>
      <c r="L602" s="191">
        <v>150.91</v>
      </c>
      <c r="M602" s="191">
        <v>0</v>
      </c>
      <c r="N602" s="191">
        <v>0</v>
      </c>
      <c r="O602" s="191">
        <v>0</v>
      </c>
      <c r="P602" s="191">
        <v>0</v>
      </c>
    </row>
    <row r="603" spans="1:16" x14ac:dyDescent="0.25">
      <c r="A603" s="190">
        <v>801010402</v>
      </c>
      <c r="B603" s="190" t="s">
        <v>431</v>
      </c>
      <c r="C603" s="190">
        <v>2541</v>
      </c>
      <c r="D603" s="190" t="s">
        <v>408</v>
      </c>
      <c r="E603" s="191">
        <v>0</v>
      </c>
      <c r="F603" s="191">
        <v>0</v>
      </c>
      <c r="G603" s="191">
        <v>0</v>
      </c>
      <c r="H603" s="191">
        <v>0</v>
      </c>
      <c r="I603" s="191">
        <v>0</v>
      </c>
      <c r="J603" s="191">
        <v>0</v>
      </c>
      <c r="K603" s="191">
        <v>0</v>
      </c>
      <c r="L603" s="191">
        <v>150.91</v>
      </c>
      <c r="M603" s="191">
        <v>0</v>
      </c>
      <c r="N603" s="191">
        <v>0</v>
      </c>
      <c r="O603" s="191">
        <v>0</v>
      </c>
      <c r="P603" s="191">
        <v>0</v>
      </c>
    </row>
    <row r="604" spans="1:16" x14ac:dyDescent="0.25">
      <c r="A604" s="190">
        <v>801010402</v>
      </c>
      <c r="B604" s="190" t="s">
        <v>432</v>
      </c>
      <c r="C604" s="190">
        <v>2541</v>
      </c>
      <c r="D604" s="190" t="s">
        <v>408</v>
      </c>
      <c r="E604" s="191">
        <v>0</v>
      </c>
      <c r="F604" s="191">
        <v>0</v>
      </c>
      <c r="G604" s="191">
        <v>0</v>
      </c>
      <c r="H604" s="191">
        <v>0</v>
      </c>
      <c r="I604" s="191">
        <v>0</v>
      </c>
      <c r="J604" s="191">
        <v>0</v>
      </c>
      <c r="K604" s="191">
        <v>0</v>
      </c>
      <c r="L604" s="191">
        <v>150.91</v>
      </c>
      <c r="M604" s="191">
        <v>0</v>
      </c>
      <c r="N604" s="191">
        <v>0</v>
      </c>
      <c r="O604" s="191">
        <v>0</v>
      </c>
      <c r="P604" s="191">
        <v>0</v>
      </c>
    </row>
    <row r="605" spans="1:16" x14ac:dyDescent="0.25">
      <c r="A605" s="190">
        <v>801010402</v>
      </c>
      <c r="B605" s="190" t="s">
        <v>433</v>
      </c>
      <c r="C605" s="190">
        <v>2541</v>
      </c>
      <c r="D605" s="190" t="s">
        <v>408</v>
      </c>
      <c r="E605" s="191">
        <v>0</v>
      </c>
      <c r="F605" s="191">
        <v>0</v>
      </c>
      <c r="G605" s="191">
        <v>0</v>
      </c>
      <c r="H605" s="191">
        <v>0</v>
      </c>
      <c r="I605" s="191">
        <v>0</v>
      </c>
      <c r="J605" s="191">
        <v>0</v>
      </c>
      <c r="K605" s="191">
        <v>0</v>
      </c>
      <c r="L605" s="191">
        <v>150.91</v>
      </c>
      <c r="M605" s="191">
        <v>0</v>
      </c>
      <c r="N605" s="191">
        <v>0</v>
      </c>
      <c r="O605" s="191">
        <v>0</v>
      </c>
      <c r="P605" s="191">
        <v>0</v>
      </c>
    </row>
    <row r="606" spans="1:16" x14ac:dyDescent="0.25">
      <c r="A606" s="190">
        <v>801010402</v>
      </c>
      <c r="B606" s="190" t="s">
        <v>434</v>
      </c>
      <c r="C606" s="190">
        <v>2541</v>
      </c>
      <c r="D606" s="190" t="s">
        <v>408</v>
      </c>
      <c r="E606" s="191">
        <v>0</v>
      </c>
      <c r="F606" s="191">
        <v>0</v>
      </c>
      <c r="G606" s="191">
        <v>0</v>
      </c>
      <c r="H606" s="191">
        <v>0</v>
      </c>
      <c r="I606" s="191">
        <v>0</v>
      </c>
      <c r="J606" s="191">
        <v>0</v>
      </c>
      <c r="K606" s="191">
        <v>0</v>
      </c>
      <c r="L606" s="191">
        <v>150.91</v>
      </c>
      <c r="M606" s="191">
        <v>0</v>
      </c>
      <c r="N606" s="191">
        <v>0</v>
      </c>
      <c r="O606" s="191">
        <v>0</v>
      </c>
      <c r="P606" s="191">
        <v>0</v>
      </c>
    </row>
    <row r="607" spans="1:16" x14ac:dyDescent="0.25">
      <c r="A607" s="190">
        <v>801010402</v>
      </c>
      <c r="B607" s="190" t="s">
        <v>435</v>
      </c>
      <c r="C607" s="190">
        <v>2541</v>
      </c>
      <c r="D607" s="190" t="s">
        <v>408</v>
      </c>
      <c r="E607" s="191">
        <v>0</v>
      </c>
      <c r="F607" s="191">
        <v>0</v>
      </c>
      <c r="G607" s="191">
        <v>0</v>
      </c>
      <c r="H607" s="191">
        <v>0</v>
      </c>
      <c r="I607" s="191">
        <v>0</v>
      </c>
      <c r="J607" s="191">
        <v>0</v>
      </c>
      <c r="K607" s="191">
        <v>0</v>
      </c>
      <c r="L607" s="191">
        <v>301.82</v>
      </c>
      <c r="M607" s="191">
        <v>0</v>
      </c>
      <c r="N607" s="191">
        <v>0</v>
      </c>
      <c r="O607" s="191">
        <v>0</v>
      </c>
      <c r="P607" s="191">
        <v>0</v>
      </c>
    </row>
    <row r="608" spans="1:16" x14ac:dyDescent="0.25">
      <c r="A608" s="190">
        <v>801010402</v>
      </c>
      <c r="B608" s="190" t="s">
        <v>436</v>
      </c>
      <c r="C608" s="190">
        <v>2541</v>
      </c>
      <c r="D608" s="190" t="s">
        <v>408</v>
      </c>
      <c r="E608" s="191">
        <v>0</v>
      </c>
      <c r="F608" s="191">
        <v>0</v>
      </c>
      <c r="G608" s="191">
        <v>0</v>
      </c>
      <c r="H608" s="191">
        <v>0</v>
      </c>
      <c r="I608" s="191">
        <v>0</v>
      </c>
      <c r="J608" s="191">
        <v>0</v>
      </c>
      <c r="K608" s="191">
        <v>0</v>
      </c>
      <c r="L608" s="191">
        <v>150.91</v>
      </c>
      <c r="M608" s="191">
        <v>0</v>
      </c>
      <c r="N608" s="191">
        <v>0</v>
      </c>
      <c r="O608" s="191">
        <v>0</v>
      </c>
      <c r="P608" s="191">
        <v>0</v>
      </c>
    </row>
    <row r="609" spans="1:16" x14ac:dyDescent="0.25">
      <c r="A609" s="190">
        <v>801010402</v>
      </c>
      <c r="B609" s="190" t="s">
        <v>437</v>
      </c>
      <c r="C609" s="190">
        <v>2541</v>
      </c>
      <c r="D609" s="190" t="s">
        <v>408</v>
      </c>
      <c r="E609" s="191">
        <v>0</v>
      </c>
      <c r="F609" s="191">
        <v>0</v>
      </c>
      <c r="G609" s="191">
        <v>0</v>
      </c>
      <c r="H609" s="191">
        <v>0</v>
      </c>
      <c r="I609" s="191">
        <v>0</v>
      </c>
      <c r="J609" s="191">
        <v>0</v>
      </c>
      <c r="K609" s="191">
        <v>0</v>
      </c>
      <c r="L609" s="191">
        <v>150.91</v>
      </c>
      <c r="M609" s="191">
        <v>0</v>
      </c>
      <c r="N609" s="191">
        <v>0</v>
      </c>
      <c r="O609" s="191">
        <v>0</v>
      </c>
      <c r="P609" s="191">
        <v>0</v>
      </c>
    </row>
    <row r="610" spans="1:16" x14ac:dyDescent="0.25">
      <c r="A610" s="190">
        <v>801010402</v>
      </c>
      <c r="B610" s="190" t="s">
        <v>434</v>
      </c>
      <c r="C610" s="190">
        <v>2551</v>
      </c>
      <c r="D610" s="190" t="s">
        <v>408</v>
      </c>
      <c r="E610" s="191">
        <v>0</v>
      </c>
      <c r="F610" s="191">
        <v>0</v>
      </c>
      <c r="G610" s="193">
        <v>10781.04</v>
      </c>
      <c r="H610" s="191">
        <v>0</v>
      </c>
      <c r="I610" s="191">
        <v>0</v>
      </c>
      <c r="J610" s="191">
        <v>0</v>
      </c>
      <c r="K610" s="191">
        <v>0</v>
      </c>
      <c r="L610" s="191">
        <v>0</v>
      </c>
      <c r="M610" s="191">
        <v>0</v>
      </c>
      <c r="N610" s="191">
        <v>0</v>
      </c>
      <c r="O610" s="191">
        <v>0</v>
      </c>
      <c r="P610" s="191">
        <v>0</v>
      </c>
    </row>
    <row r="611" spans="1:16" x14ac:dyDescent="0.25">
      <c r="A611" s="190">
        <v>801010402</v>
      </c>
      <c r="B611" s="190" t="s">
        <v>434</v>
      </c>
      <c r="C611" s="190">
        <v>2561</v>
      </c>
      <c r="D611" s="190" t="s">
        <v>408</v>
      </c>
      <c r="E611" s="191">
        <v>0</v>
      </c>
      <c r="F611" s="191">
        <v>0</v>
      </c>
      <c r="G611" s="191">
        <v>0</v>
      </c>
      <c r="H611" s="191">
        <v>0</v>
      </c>
      <c r="I611" s="191">
        <v>0</v>
      </c>
      <c r="J611" s="191">
        <v>0</v>
      </c>
      <c r="K611" s="191">
        <v>0</v>
      </c>
      <c r="L611" s="191">
        <v>0</v>
      </c>
      <c r="M611" s="191">
        <v>0</v>
      </c>
      <c r="N611" s="191">
        <v>0</v>
      </c>
      <c r="O611" s="191">
        <v>0</v>
      </c>
      <c r="P611" s="191">
        <v>275.99</v>
      </c>
    </row>
    <row r="612" spans="1:16" x14ac:dyDescent="0.25">
      <c r="A612" s="190">
        <v>801010402</v>
      </c>
      <c r="B612" s="190" t="s">
        <v>407</v>
      </c>
      <c r="C612" s="190">
        <v>2611</v>
      </c>
      <c r="D612" s="190" t="s">
        <v>409</v>
      </c>
      <c r="E612" s="191">
        <v>0</v>
      </c>
      <c r="F612" s="191">
        <v>0</v>
      </c>
      <c r="G612" s="191">
        <v>0</v>
      </c>
      <c r="H612" s="191">
        <v>0</v>
      </c>
      <c r="I612" s="191">
        <v>0</v>
      </c>
      <c r="J612" s="191">
        <v>0</v>
      </c>
      <c r="K612" s="191">
        <v>0</v>
      </c>
      <c r="L612" s="193">
        <v>12602.41</v>
      </c>
      <c r="M612" s="191">
        <v>0</v>
      </c>
      <c r="N612" s="191">
        <v>0</v>
      </c>
      <c r="O612" s="191">
        <v>0</v>
      </c>
      <c r="P612" s="191">
        <v>0</v>
      </c>
    </row>
    <row r="613" spans="1:16" x14ac:dyDescent="0.25">
      <c r="A613" s="190">
        <v>801010402</v>
      </c>
      <c r="B613" s="190" t="s">
        <v>407</v>
      </c>
      <c r="C613" s="190">
        <v>2611</v>
      </c>
      <c r="D613" s="190" t="s">
        <v>408</v>
      </c>
      <c r="E613" s="191">
        <v>0</v>
      </c>
      <c r="F613" s="193">
        <v>125245.4</v>
      </c>
      <c r="G613" s="193">
        <v>125071.95</v>
      </c>
      <c r="H613" s="191">
        <v>0</v>
      </c>
      <c r="I613" s="193">
        <v>23661.15</v>
      </c>
      <c r="J613" s="193">
        <v>12345.74</v>
      </c>
      <c r="K613" s="193">
        <v>41051.14</v>
      </c>
      <c r="L613" s="193">
        <v>122401.59</v>
      </c>
      <c r="M613" s="191">
        <v>0</v>
      </c>
      <c r="N613" s="193">
        <v>25204</v>
      </c>
      <c r="O613" s="193">
        <v>31137.64</v>
      </c>
      <c r="P613" s="191">
        <v>0</v>
      </c>
    </row>
    <row r="614" spans="1:16" x14ac:dyDescent="0.25">
      <c r="A614" s="190">
        <v>801010402</v>
      </c>
      <c r="B614" s="190" t="s">
        <v>410</v>
      </c>
      <c r="C614" s="190">
        <v>2611</v>
      </c>
      <c r="D614" s="190" t="s">
        <v>408</v>
      </c>
      <c r="E614" s="191">
        <v>0</v>
      </c>
      <c r="F614" s="191">
        <v>0</v>
      </c>
      <c r="G614" s="191">
        <v>200</v>
      </c>
      <c r="H614" s="191">
        <v>0</v>
      </c>
      <c r="I614" s="193">
        <v>3943.61</v>
      </c>
      <c r="J614" s="191">
        <v>0</v>
      </c>
      <c r="K614" s="191">
        <v>0</v>
      </c>
      <c r="L614" s="193">
        <v>3812.72</v>
      </c>
      <c r="M614" s="191">
        <v>0</v>
      </c>
      <c r="N614" s="193">
        <v>4600.49</v>
      </c>
      <c r="O614" s="193">
        <v>17380.78</v>
      </c>
      <c r="P614" s="191">
        <v>0</v>
      </c>
    </row>
    <row r="615" spans="1:16" x14ac:dyDescent="0.25">
      <c r="A615" s="190">
        <v>801010402</v>
      </c>
      <c r="B615" s="190" t="s">
        <v>411</v>
      </c>
      <c r="C615" s="190">
        <v>2611</v>
      </c>
      <c r="D615" s="190" t="s">
        <v>408</v>
      </c>
      <c r="E615" s="193">
        <v>1500</v>
      </c>
      <c r="F615" s="193">
        <v>3000</v>
      </c>
      <c r="G615" s="193">
        <v>1500</v>
      </c>
      <c r="H615" s="193">
        <v>3000</v>
      </c>
      <c r="I615" s="193">
        <v>3943.61</v>
      </c>
      <c r="J615" s="193">
        <v>5250</v>
      </c>
      <c r="K615" s="193">
        <v>2000</v>
      </c>
      <c r="L615" s="193">
        <v>1100</v>
      </c>
      <c r="M615" s="191">
        <v>0</v>
      </c>
      <c r="N615" s="193">
        <v>4200.49</v>
      </c>
      <c r="O615" s="193">
        <v>1501.14</v>
      </c>
      <c r="P615" s="191">
        <v>0</v>
      </c>
    </row>
    <row r="616" spans="1:16" x14ac:dyDescent="0.25">
      <c r="A616" s="190">
        <v>801010402</v>
      </c>
      <c r="B616" s="190" t="s">
        <v>412</v>
      </c>
      <c r="C616" s="190">
        <v>2611</v>
      </c>
      <c r="D616" s="190" t="s">
        <v>408</v>
      </c>
      <c r="E616" s="191">
        <v>0</v>
      </c>
      <c r="F616" s="191">
        <v>0</v>
      </c>
      <c r="G616" s="191">
        <v>0</v>
      </c>
      <c r="H616" s="191">
        <v>0</v>
      </c>
      <c r="I616" s="193">
        <v>3943.61</v>
      </c>
      <c r="J616" s="191">
        <v>0</v>
      </c>
      <c r="K616" s="191">
        <v>0</v>
      </c>
      <c r="L616" s="191">
        <v>0</v>
      </c>
      <c r="M616" s="191">
        <v>0</v>
      </c>
      <c r="N616" s="193">
        <v>4200.49</v>
      </c>
      <c r="O616" s="193">
        <v>4104.5</v>
      </c>
      <c r="P616" s="191">
        <v>0</v>
      </c>
    </row>
    <row r="617" spans="1:16" x14ac:dyDescent="0.25">
      <c r="A617" s="190">
        <v>801010402</v>
      </c>
      <c r="B617" s="190" t="s">
        <v>413</v>
      </c>
      <c r="C617" s="190">
        <v>2611</v>
      </c>
      <c r="D617" s="190" t="s">
        <v>408</v>
      </c>
      <c r="E617" s="191">
        <v>0</v>
      </c>
      <c r="F617" s="191">
        <v>0</v>
      </c>
      <c r="G617" s="191">
        <v>0</v>
      </c>
      <c r="H617" s="191">
        <v>0</v>
      </c>
      <c r="I617" s="193">
        <v>3943.61</v>
      </c>
      <c r="J617" s="191">
        <v>0</v>
      </c>
      <c r="K617" s="191">
        <v>0</v>
      </c>
      <c r="L617" s="191">
        <v>0</v>
      </c>
      <c r="M617" s="191">
        <v>0</v>
      </c>
      <c r="N617" s="193">
        <v>4200.49</v>
      </c>
      <c r="O617" s="191">
        <v>308.31</v>
      </c>
      <c r="P617" s="191">
        <v>0</v>
      </c>
    </row>
    <row r="618" spans="1:16" x14ac:dyDescent="0.25">
      <c r="A618" s="190">
        <v>801010402</v>
      </c>
      <c r="B618" s="190" t="s">
        <v>414</v>
      </c>
      <c r="C618" s="190">
        <v>2611</v>
      </c>
      <c r="D618" s="190" t="s">
        <v>408</v>
      </c>
      <c r="E618" s="191">
        <v>0</v>
      </c>
      <c r="F618" s="191">
        <v>0</v>
      </c>
      <c r="G618" s="191">
        <v>0</v>
      </c>
      <c r="H618" s="191">
        <v>0</v>
      </c>
      <c r="I618" s="193">
        <v>3943.61</v>
      </c>
      <c r="J618" s="191">
        <v>0</v>
      </c>
      <c r="K618" s="193">
        <v>8208.99</v>
      </c>
      <c r="L618" s="191">
        <v>0</v>
      </c>
      <c r="M618" s="191">
        <v>0</v>
      </c>
      <c r="N618" s="193">
        <v>4200.49</v>
      </c>
      <c r="O618" s="193">
        <v>17963.98</v>
      </c>
      <c r="P618" s="191">
        <v>0</v>
      </c>
    </row>
    <row r="619" spans="1:16" x14ac:dyDescent="0.25">
      <c r="A619" s="190">
        <v>801010402</v>
      </c>
      <c r="B619" s="190" t="s">
        <v>415</v>
      </c>
      <c r="C619" s="190">
        <v>2611</v>
      </c>
      <c r="D619" s="190" t="s">
        <v>408</v>
      </c>
      <c r="E619" s="191">
        <v>0</v>
      </c>
      <c r="F619" s="191">
        <v>0</v>
      </c>
      <c r="G619" s="191">
        <v>0</v>
      </c>
      <c r="H619" s="191">
        <v>0</v>
      </c>
      <c r="I619" s="193">
        <v>3943.61</v>
      </c>
      <c r="J619" s="191">
        <v>0</v>
      </c>
      <c r="K619" s="191">
        <v>0</v>
      </c>
      <c r="L619" s="191">
        <v>0</v>
      </c>
      <c r="M619" s="191">
        <v>0</v>
      </c>
      <c r="N619" s="193">
        <v>4200.49</v>
      </c>
      <c r="O619" s="191">
        <v>0</v>
      </c>
      <c r="P619" s="191">
        <v>0</v>
      </c>
    </row>
    <row r="620" spans="1:16" x14ac:dyDescent="0.25">
      <c r="A620" s="190">
        <v>801010402</v>
      </c>
      <c r="B620" s="190" t="s">
        <v>416</v>
      </c>
      <c r="C620" s="190">
        <v>2611</v>
      </c>
      <c r="D620" s="190" t="s">
        <v>408</v>
      </c>
      <c r="E620" s="191">
        <v>0</v>
      </c>
      <c r="F620" s="191">
        <v>0</v>
      </c>
      <c r="G620" s="191">
        <v>0</v>
      </c>
      <c r="H620" s="191">
        <v>0</v>
      </c>
      <c r="I620" s="193">
        <v>3943.61</v>
      </c>
      <c r="J620" s="191">
        <v>0</v>
      </c>
      <c r="K620" s="191">
        <v>0</v>
      </c>
      <c r="L620" s="191">
        <v>0</v>
      </c>
      <c r="M620" s="191">
        <v>0</v>
      </c>
      <c r="N620" s="193">
        <v>4200.49</v>
      </c>
      <c r="O620" s="191">
        <v>0</v>
      </c>
      <c r="P620" s="191">
        <v>0</v>
      </c>
    </row>
    <row r="621" spans="1:16" x14ac:dyDescent="0.25">
      <c r="A621" s="190">
        <v>801010402</v>
      </c>
      <c r="B621" s="190" t="s">
        <v>417</v>
      </c>
      <c r="C621" s="190">
        <v>2611</v>
      </c>
      <c r="D621" s="190" t="s">
        <v>408</v>
      </c>
      <c r="E621" s="191">
        <v>0</v>
      </c>
      <c r="F621" s="191">
        <v>0</v>
      </c>
      <c r="G621" s="191">
        <v>0</v>
      </c>
      <c r="H621" s="191">
        <v>0</v>
      </c>
      <c r="I621" s="193">
        <v>3943.61</v>
      </c>
      <c r="J621" s="191">
        <v>0</v>
      </c>
      <c r="K621" s="191">
        <v>0</v>
      </c>
      <c r="L621" s="191">
        <v>0</v>
      </c>
      <c r="M621" s="191">
        <v>0</v>
      </c>
      <c r="N621" s="193">
        <v>4200.49</v>
      </c>
      <c r="O621" s="191">
        <v>0</v>
      </c>
      <c r="P621" s="191">
        <v>0</v>
      </c>
    </row>
    <row r="622" spans="1:16" x14ac:dyDescent="0.25">
      <c r="A622" s="190">
        <v>801010402</v>
      </c>
      <c r="B622" s="190" t="s">
        <v>419</v>
      </c>
      <c r="C622" s="190">
        <v>2611</v>
      </c>
      <c r="D622" s="190" t="s">
        <v>408</v>
      </c>
      <c r="E622" s="193">
        <v>5000</v>
      </c>
      <c r="F622" s="193">
        <v>8400</v>
      </c>
      <c r="G622" s="193">
        <v>8000</v>
      </c>
      <c r="H622" s="193">
        <v>6000</v>
      </c>
      <c r="I622" s="193">
        <v>3943.61</v>
      </c>
      <c r="J622" s="193">
        <v>13800</v>
      </c>
      <c r="K622" s="193">
        <v>7996.23</v>
      </c>
      <c r="L622" s="191">
        <v>0</v>
      </c>
      <c r="M622" s="191">
        <v>0</v>
      </c>
      <c r="N622" s="193">
        <v>14200.49</v>
      </c>
      <c r="O622" s="193">
        <v>16186.73</v>
      </c>
      <c r="P622" s="191">
        <v>0</v>
      </c>
    </row>
    <row r="623" spans="1:16" x14ac:dyDescent="0.25">
      <c r="A623" s="190">
        <v>801010402</v>
      </c>
      <c r="B623" s="190" t="s">
        <v>420</v>
      </c>
      <c r="C623" s="190">
        <v>2611</v>
      </c>
      <c r="D623" s="190" t="s">
        <v>408</v>
      </c>
      <c r="E623" s="191">
        <v>0</v>
      </c>
      <c r="F623" s="191">
        <v>0</v>
      </c>
      <c r="G623" s="191">
        <v>0</v>
      </c>
      <c r="H623" s="191">
        <v>0</v>
      </c>
      <c r="I623" s="193">
        <v>3943.61</v>
      </c>
      <c r="J623" s="191">
        <v>0</v>
      </c>
      <c r="K623" s="191">
        <v>0</v>
      </c>
      <c r="L623" s="191">
        <v>0</v>
      </c>
      <c r="M623" s="191">
        <v>0</v>
      </c>
      <c r="N623" s="193">
        <v>4200.49</v>
      </c>
      <c r="O623" s="193">
        <v>12312.51</v>
      </c>
      <c r="P623" s="191">
        <v>0</v>
      </c>
    </row>
    <row r="624" spans="1:16" x14ac:dyDescent="0.25">
      <c r="A624" s="190">
        <v>801010402</v>
      </c>
      <c r="B624" s="190" t="s">
        <v>421</v>
      </c>
      <c r="C624" s="190">
        <v>2611</v>
      </c>
      <c r="D624" s="190" t="s">
        <v>408</v>
      </c>
      <c r="E624" s="191">
        <v>0</v>
      </c>
      <c r="F624" s="191">
        <v>0</v>
      </c>
      <c r="G624" s="191">
        <v>0</v>
      </c>
      <c r="H624" s="191">
        <v>0</v>
      </c>
      <c r="I624" s="193">
        <v>3943.61</v>
      </c>
      <c r="J624" s="193">
        <v>2500</v>
      </c>
      <c r="K624" s="193">
        <v>3000</v>
      </c>
      <c r="L624" s="191">
        <v>600</v>
      </c>
      <c r="M624" s="191">
        <v>0</v>
      </c>
      <c r="N624" s="193">
        <v>4200.49</v>
      </c>
      <c r="O624" s="191">
        <v>0</v>
      </c>
      <c r="P624" s="191">
        <v>0</v>
      </c>
    </row>
    <row r="625" spans="1:16" x14ac:dyDescent="0.25">
      <c r="A625" s="190">
        <v>801010402</v>
      </c>
      <c r="B625" s="190" t="s">
        <v>422</v>
      </c>
      <c r="C625" s="190">
        <v>2611</v>
      </c>
      <c r="D625" s="190" t="s">
        <v>408</v>
      </c>
      <c r="E625" s="191">
        <v>0</v>
      </c>
      <c r="F625" s="193">
        <v>11901.01</v>
      </c>
      <c r="G625" s="193">
        <v>5562</v>
      </c>
      <c r="H625" s="193">
        <v>7308</v>
      </c>
      <c r="I625" s="193">
        <v>3943.61</v>
      </c>
      <c r="J625" s="193">
        <v>8528</v>
      </c>
      <c r="K625" s="191">
        <v>0</v>
      </c>
      <c r="L625" s="193">
        <v>9263.4</v>
      </c>
      <c r="M625" s="191">
        <v>0</v>
      </c>
      <c r="N625" s="193">
        <v>21444.34</v>
      </c>
      <c r="O625" s="193">
        <v>26117.42</v>
      </c>
      <c r="P625" s="193">
        <v>21867</v>
      </c>
    </row>
    <row r="626" spans="1:16" x14ac:dyDescent="0.25">
      <c r="A626" s="190">
        <v>801010402</v>
      </c>
      <c r="B626" s="190" t="s">
        <v>423</v>
      </c>
      <c r="C626" s="190">
        <v>2611</v>
      </c>
      <c r="D626" s="190" t="s">
        <v>408</v>
      </c>
      <c r="E626" s="191">
        <v>0</v>
      </c>
      <c r="F626" s="191">
        <v>0</v>
      </c>
      <c r="G626" s="191">
        <v>0</v>
      </c>
      <c r="H626" s="191">
        <v>0</v>
      </c>
      <c r="I626" s="193">
        <v>3943.61</v>
      </c>
      <c r="J626" s="191">
        <v>0</v>
      </c>
      <c r="K626" s="191">
        <v>0</v>
      </c>
      <c r="L626" s="191">
        <v>0</v>
      </c>
      <c r="M626" s="191">
        <v>0</v>
      </c>
      <c r="N626" s="193">
        <v>4200.49</v>
      </c>
      <c r="O626" s="191">
        <v>0</v>
      </c>
      <c r="P626" s="191">
        <v>0</v>
      </c>
    </row>
    <row r="627" spans="1:16" x14ac:dyDescent="0.25">
      <c r="A627" s="190">
        <v>801010402</v>
      </c>
      <c r="B627" s="190" t="s">
        <v>424</v>
      </c>
      <c r="C627" s="190">
        <v>2611</v>
      </c>
      <c r="D627" s="190" t="s">
        <v>408</v>
      </c>
      <c r="E627" s="191">
        <v>0</v>
      </c>
      <c r="F627" s="191">
        <v>0</v>
      </c>
      <c r="G627" s="191">
        <v>0</v>
      </c>
      <c r="H627" s="191">
        <v>849.16</v>
      </c>
      <c r="I627" s="193">
        <v>3943.61</v>
      </c>
      <c r="J627" s="191">
        <v>300</v>
      </c>
      <c r="K627" s="191">
        <v>500</v>
      </c>
      <c r="L627" s="191">
        <v>500</v>
      </c>
      <c r="M627" s="191">
        <v>0</v>
      </c>
      <c r="N627" s="193">
        <v>4200.49</v>
      </c>
      <c r="O627" s="191">
        <v>0</v>
      </c>
      <c r="P627" s="191">
        <v>0</v>
      </c>
    </row>
    <row r="628" spans="1:16" x14ac:dyDescent="0.25">
      <c r="A628" s="190">
        <v>801010402</v>
      </c>
      <c r="B628" s="190" t="s">
        <v>425</v>
      </c>
      <c r="C628" s="190">
        <v>2611</v>
      </c>
      <c r="D628" s="190" t="s">
        <v>408</v>
      </c>
      <c r="E628" s="193">
        <v>7000</v>
      </c>
      <c r="F628" s="191">
        <v>0</v>
      </c>
      <c r="G628" s="193">
        <v>5500</v>
      </c>
      <c r="H628" s="193">
        <v>12500</v>
      </c>
      <c r="I628" s="193">
        <v>3943.61</v>
      </c>
      <c r="J628" s="193">
        <v>15100</v>
      </c>
      <c r="K628" s="193">
        <v>5000</v>
      </c>
      <c r="L628" s="193">
        <v>5000</v>
      </c>
      <c r="M628" s="191">
        <v>0</v>
      </c>
      <c r="N628" s="193">
        <v>19200.490000000002</v>
      </c>
      <c r="O628" s="193">
        <v>29657.72</v>
      </c>
      <c r="P628" s="193">
        <v>7500</v>
      </c>
    </row>
    <row r="629" spans="1:16" x14ac:dyDescent="0.25">
      <c r="A629" s="190">
        <v>801010402</v>
      </c>
      <c r="B629" s="190" t="s">
        <v>426</v>
      </c>
      <c r="C629" s="190">
        <v>2611</v>
      </c>
      <c r="D629" s="190" t="s">
        <v>408</v>
      </c>
      <c r="E629" s="191">
        <v>0</v>
      </c>
      <c r="F629" s="191">
        <v>0</v>
      </c>
      <c r="G629" s="191">
        <v>0</v>
      </c>
      <c r="H629" s="191">
        <v>0</v>
      </c>
      <c r="I629" s="193">
        <v>3943.61</v>
      </c>
      <c r="J629" s="191">
        <v>0</v>
      </c>
      <c r="K629" s="191">
        <v>0</v>
      </c>
      <c r="L629" s="191">
        <v>0</v>
      </c>
      <c r="M629" s="191">
        <v>0</v>
      </c>
      <c r="N629" s="193">
        <v>4200.49</v>
      </c>
      <c r="O629" s="191">
        <v>0</v>
      </c>
      <c r="P629" s="191">
        <v>0</v>
      </c>
    </row>
    <row r="630" spans="1:16" x14ac:dyDescent="0.25">
      <c r="A630" s="190">
        <v>801010402</v>
      </c>
      <c r="B630" s="190" t="s">
        <v>427</v>
      </c>
      <c r="C630" s="190">
        <v>2611</v>
      </c>
      <c r="D630" s="190" t="s">
        <v>408</v>
      </c>
      <c r="E630" s="191">
        <v>0</v>
      </c>
      <c r="F630" s="191">
        <v>0</v>
      </c>
      <c r="G630" s="191">
        <v>0</v>
      </c>
      <c r="H630" s="191">
        <v>0</v>
      </c>
      <c r="I630" s="193">
        <v>3943.61</v>
      </c>
      <c r="J630" s="191">
        <v>0</v>
      </c>
      <c r="K630" s="191">
        <v>0</v>
      </c>
      <c r="L630" s="191">
        <v>0</v>
      </c>
      <c r="M630" s="191">
        <v>0</v>
      </c>
      <c r="N630" s="193">
        <v>4200.49</v>
      </c>
      <c r="O630" s="191">
        <v>0</v>
      </c>
      <c r="P630" s="191">
        <v>0</v>
      </c>
    </row>
    <row r="631" spans="1:16" x14ac:dyDescent="0.25">
      <c r="A631" s="190">
        <v>801010402</v>
      </c>
      <c r="B631" s="190" t="s">
        <v>428</v>
      </c>
      <c r="C631" s="190">
        <v>2611</v>
      </c>
      <c r="D631" s="190" t="s">
        <v>408</v>
      </c>
      <c r="E631" s="191">
        <v>0</v>
      </c>
      <c r="F631" s="191">
        <v>0</v>
      </c>
      <c r="G631" s="191">
        <v>0</v>
      </c>
      <c r="H631" s="191">
        <v>0</v>
      </c>
      <c r="I631" s="193">
        <v>3943.61</v>
      </c>
      <c r="J631" s="191">
        <v>0</v>
      </c>
      <c r="K631" s="193">
        <v>2308.84</v>
      </c>
      <c r="L631" s="191">
        <v>0</v>
      </c>
      <c r="M631" s="191">
        <v>0</v>
      </c>
      <c r="N631" s="193">
        <v>4200.49</v>
      </c>
      <c r="O631" s="191">
        <v>0</v>
      </c>
      <c r="P631" s="191">
        <v>0</v>
      </c>
    </row>
    <row r="632" spans="1:16" x14ac:dyDescent="0.25">
      <c r="A632" s="190">
        <v>801010402</v>
      </c>
      <c r="B632" s="190" t="s">
        <v>429</v>
      </c>
      <c r="C632" s="190">
        <v>2611</v>
      </c>
      <c r="D632" s="190" t="s">
        <v>408</v>
      </c>
      <c r="E632" s="191">
        <v>0</v>
      </c>
      <c r="F632" s="191">
        <v>0</v>
      </c>
      <c r="G632" s="191">
        <v>0</v>
      </c>
      <c r="H632" s="191">
        <v>0</v>
      </c>
      <c r="I632" s="193">
        <v>3943.61</v>
      </c>
      <c r="J632" s="191">
        <v>0</v>
      </c>
      <c r="K632" s="191">
        <v>0</v>
      </c>
      <c r="L632" s="191">
        <v>0</v>
      </c>
      <c r="M632" s="191">
        <v>0</v>
      </c>
      <c r="N632" s="193">
        <v>4200.49</v>
      </c>
      <c r="O632" s="193">
        <v>4104.5</v>
      </c>
      <c r="P632" s="191">
        <v>0</v>
      </c>
    </row>
    <row r="633" spans="1:16" x14ac:dyDescent="0.25">
      <c r="A633" s="190">
        <v>801010402</v>
      </c>
      <c r="B633" s="190" t="s">
        <v>430</v>
      </c>
      <c r="C633" s="190">
        <v>2611</v>
      </c>
      <c r="D633" s="190" t="s">
        <v>408</v>
      </c>
      <c r="E633" s="191">
        <v>0</v>
      </c>
      <c r="F633" s="191">
        <v>0</v>
      </c>
      <c r="G633" s="191">
        <v>0</v>
      </c>
      <c r="H633" s="191">
        <v>0</v>
      </c>
      <c r="I633" s="193">
        <v>3943.61</v>
      </c>
      <c r="J633" s="191">
        <v>0</v>
      </c>
      <c r="K633" s="191">
        <v>0</v>
      </c>
      <c r="L633" s="191">
        <v>0</v>
      </c>
      <c r="M633" s="191">
        <v>0</v>
      </c>
      <c r="N633" s="193">
        <v>4200.49</v>
      </c>
      <c r="O633" s="191">
        <v>0</v>
      </c>
      <c r="P633" s="191">
        <v>0</v>
      </c>
    </row>
    <row r="634" spans="1:16" x14ac:dyDescent="0.25">
      <c r="A634" s="190">
        <v>801010402</v>
      </c>
      <c r="B634" s="190" t="s">
        <v>431</v>
      </c>
      <c r="C634" s="190">
        <v>2611</v>
      </c>
      <c r="D634" s="190" t="s">
        <v>408</v>
      </c>
      <c r="E634" s="191">
        <v>0</v>
      </c>
      <c r="F634" s="191">
        <v>0</v>
      </c>
      <c r="G634" s="191">
        <v>0</v>
      </c>
      <c r="H634" s="191">
        <v>0</v>
      </c>
      <c r="I634" s="193">
        <v>3943.61</v>
      </c>
      <c r="J634" s="191">
        <v>0</v>
      </c>
      <c r="K634" s="191">
        <v>0</v>
      </c>
      <c r="L634" s="191">
        <v>0</v>
      </c>
      <c r="M634" s="191">
        <v>0</v>
      </c>
      <c r="N634" s="193">
        <v>4200.49</v>
      </c>
      <c r="O634" s="191">
        <v>0</v>
      </c>
      <c r="P634" s="191">
        <v>0</v>
      </c>
    </row>
    <row r="635" spans="1:16" x14ac:dyDescent="0.25">
      <c r="A635" s="190">
        <v>801010402</v>
      </c>
      <c r="B635" s="190" t="s">
        <v>432</v>
      </c>
      <c r="C635" s="190">
        <v>2611</v>
      </c>
      <c r="D635" s="190" t="s">
        <v>408</v>
      </c>
      <c r="E635" s="191">
        <v>0</v>
      </c>
      <c r="F635" s="191">
        <v>0</v>
      </c>
      <c r="G635" s="191">
        <v>0</v>
      </c>
      <c r="H635" s="191">
        <v>0</v>
      </c>
      <c r="I635" s="193">
        <v>3943.61</v>
      </c>
      <c r="J635" s="193">
        <v>12234.3</v>
      </c>
      <c r="K635" s="193">
        <v>2160.88</v>
      </c>
      <c r="L635" s="191">
        <v>0</v>
      </c>
      <c r="M635" s="191">
        <v>0</v>
      </c>
      <c r="N635" s="193">
        <v>4200.49</v>
      </c>
      <c r="O635" s="191">
        <v>0</v>
      </c>
      <c r="P635" s="191">
        <v>0</v>
      </c>
    </row>
    <row r="636" spans="1:16" x14ac:dyDescent="0.25">
      <c r="A636" s="190">
        <v>801010402</v>
      </c>
      <c r="B636" s="190" t="s">
        <v>433</v>
      </c>
      <c r="C636" s="190">
        <v>2611</v>
      </c>
      <c r="D636" s="190" t="s">
        <v>408</v>
      </c>
      <c r="E636" s="191">
        <v>0</v>
      </c>
      <c r="F636" s="191">
        <v>0</v>
      </c>
      <c r="G636" s="191">
        <v>0</v>
      </c>
      <c r="H636" s="191">
        <v>0</v>
      </c>
      <c r="I636" s="193">
        <v>3943.61</v>
      </c>
      <c r="J636" s="191">
        <v>0</v>
      </c>
      <c r="K636" s="191">
        <v>0</v>
      </c>
      <c r="L636" s="191">
        <v>0</v>
      </c>
      <c r="M636" s="191">
        <v>0</v>
      </c>
      <c r="N636" s="193">
        <v>4200.49</v>
      </c>
      <c r="O636" s="191">
        <v>0</v>
      </c>
      <c r="P636" s="191">
        <v>0</v>
      </c>
    </row>
    <row r="637" spans="1:16" x14ac:dyDescent="0.25">
      <c r="A637" s="190">
        <v>801010402</v>
      </c>
      <c r="B637" s="190" t="s">
        <v>434</v>
      </c>
      <c r="C637" s="190">
        <v>2611</v>
      </c>
      <c r="D637" s="190" t="s">
        <v>408</v>
      </c>
      <c r="E637" s="191">
        <v>0</v>
      </c>
      <c r="F637" s="191">
        <v>0</v>
      </c>
      <c r="G637" s="191">
        <v>0</v>
      </c>
      <c r="H637" s="191">
        <v>0</v>
      </c>
      <c r="I637" s="193">
        <v>3943.61</v>
      </c>
      <c r="J637" s="191">
        <v>0</v>
      </c>
      <c r="K637" s="191">
        <v>0</v>
      </c>
      <c r="L637" s="191">
        <v>0</v>
      </c>
      <c r="M637" s="191">
        <v>0</v>
      </c>
      <c r="N637" s="193">
        <v>4200.49</v>
      </c>
      <c r="O637" s="191">
        <v>0</v>
      </c>
      <c r="P637" s="191">
        <v>0</v>
      </c>
    </row>
    <row r="638" spans="1:16" x14ac:dyDescent="0.25">
      <c r="A638" s="190">
        <v>801010402</v>
      </c>
      <c r="B638" s="190" t="s">
        <v>435</v>
      </c>
      <c r="C638" s="190">
        <v>2611</v>
      </c>
      <c r="D638" s="190" t="s">
        <v>408</v>
      </c>
      <c r="E638" s="191">
        <v>0</v>
      </c>
      <c r="F638" s="191">
        <v>0</v>
      </c>
      <c r="G638" s="191">
        <v>0</v>
      </c>
      <c r="H638" s="191">
        <v>0</v>
      </c>
      <c r="I638" s="193">
        <v>3943.61</v>
      </c>
      <c r="J638" s="191">
        <v>0</v>
      </c>
      <c r="K638" s="191">
        <v>0</v>
      </c>
      <c r="L638" s="191">
        <v>0</v>
      </c>
      <c r="M638" s="191">
        <v>0</v>
      </c>
      <c r="N638" s="193">
        <v>4200.49</v>
      </c>
      <c r="O638" s="191">
        <v>0</v>
      </c>
      <c r="P638" s="191">
        <v>0</v>
      </c>
    </row>
    <row r="639" spans="1:16" x14ac:dyDescent="0.25">
      <c r="A639" s="190">
        <v>801010402</v>
      </c>
      <c r="B639" s="190" t="s">
        <v>436</v>
      </c>
      <c r="C639" s="190">
        <v>2611</v>
      </c>
      <c r="D639" s="190" t="s">
        <v>408</v>
      </c>
      <c r="E639" s="191">
        <v>0</v>
      </c>
      <c r="F639" s="191">
        <v>0</v>
      </c>
      <c r="G639" s="191">
        <v>0</v>
      </c>
      <c r="H639" s="191">
        <v>0</v>
      </c>
      <c r="I639" s="193">
        <v>3943.61</v>
      </c>
      <c r="J639" s="191">
        <v>0</v>
      </c>
      <c r="K639" s="191">
        <v>0</v>
      </c>
      <c r="L639" s="191">
        <v>0</v>
      </c>
      <c r="M639" s="191">
        <v>0</v>
      </c>
      <c r="N639" s="193">
        <v>4200.49</v>
      </c>
      <c r="O639" s="191">
        <v>0</v>
      </c>
      <c r="P639" s="191">
        <v>0</v>
      </c>
    </row>
    <row r="640" spans="1:16" x14ac:dyDescent="0.25">
      <c r="A640" s="190">
        <v>801010402</v>
      </c>
      <c r="B640" s="190" t="s">
        <v>437</v>
      </c>
      <c r="C640" s="190">
        <v>2611</v>
      </c>
      <c r="D640" s="190" t="s">
        <v>408</v>
      </c>
      <c r="E640" s="191">
        <v>0</v>
      </c>
      <c r="F640" s="191">
        <v>0</v>
      </c>
      <c r="G640" s="191">
        <v>0</v>
      </c>
      <c r="H640" s="191">
        <v>0</v>
      </c>
      <c r="I640" s="193">
        <v>3943.61</v>
      </c>
      <c r="J640" s="191">
        <v>0</v>
      </c>
      <c r="K640" s="191">
        <v>0</v>
      </c>
      <c r="L640" s="191">
        <v>0</v>
      </c>
      <c r="M640" s="191">
        <v>0</v>
      </c>
      <c r="N640" s="193">
        <v>4200.49</v>
      </c>
      <c r="O640" s="191">
        <v>0</v>
      </c>
      <c r="P640" s="191">
        <v>0</v>
      </c>
    </row>
    <row r="641" spans="1:16" x14ac:dyDescent="0.25">
      <c r="A641" s="190">
        <v>801010402</v>
      </c>
      <c r="B641" s="190" t="s">
        <v>407</v>
      </c>
      <c r="C641" s="190">
        <v>2711</v>
      </c>
      <c r="D641" s="190" t="s">
        <v>408</v>
      </c>
      <c r="E641" s="191">
        <v>0</v>
      </c>
      <c r="F641" s="191">
        <v>0</v>
      </c>
      <c r="G641" s="191">
        <v>0</v>
      </c>
      <c r="H641" s="191">
        <v>0</v>
      </c>
      <c r="I641" s="191">
        <v>0</v>
      </c>
      <c r="J641" s="191">
        <v>0</v>
      </c>
      <c r="K641" s="191">
        <v>0</v>
      </c>
      <c r="L641" s="193">
        <v>2475</v>
      </c>
      <c r="M641" s="191">
        <v>0</v>
      </c>
      <c r="N641" s="191">
        <v>0</v>
      </c>
      <c r="O641" s="191">
        <v>0</v>
      </c>
      <c r="P641" s="191">
        <v>0</v>
      </c>
    </row>
    <row r="642" spans="1:16" x14ac:dyDescent="0.25">
      <c r="A642" s="190">
        <v>801010402</v>
      </c>
      <c r="B642" s="190" t="s">
        <v>410</v>
      </c>
      <c r="C642" s="190">
        <v>2711</v>
      </c>
      <c r="D642" s="190" t="s">
        <v>408</v>
      </c>
      <c r="E642" s="191">
        <v>0</v>
      </c>
      <c r="F642" s="191">
        <v>0</v>
      </c>
      <c r="G642" s="191">
        <v>0</v>
      </c>
      <c r="H642" s="191">
        <v>0</v>
      </c>
      <c r="I642" s="191">
        <v>0</v>
      </c>
      <c r="J642" s="191">
        <v>0</v>
      </c>
      <c r="K642" s="191">
        <v>0</v>
      </c>
      <c r="L642" s="191">
        <v>492.54</v>
      </c>
      <c r="M642" s="191">
        <v>0</v>
      </c>
      <c r="N642" s="191">
        <v>0</v>
      </c>
      <c r="O642" s="191">
        <v>0</v>
      </c>
      <c r="P642" s="191">
        <v>0</v>
      </c>
    </row>
    <row r="643" spans="1:16" x14ac:dyDescent="0.25">
      <c r="A643" s="190">
        <v>801010402</v>
      </c>
      <c r="B643" s="190" t="s">
        <v>424</v>
      </c>
      <c r="C643" s="190">
        <v>2711</v>
      </c>
      <c r="D643" s="190" t="s">
        <v>408</v>
      </c>
      <c r="E643" s="191">
        <v>0</v>
      </c>
      <c r="F643" s="191">
        <v>0</v>
      </c>
      <c r="G643" s="191">
        <v>0</v>
      </c>
      <c r="H643" s="191">
        <v>0</v>
      </c>
      <c r="I643" s="191">
        <v>0</v>
      </c>
      <c r="J643" s="191">
        <v>0</v>
      </c>
      <c r="K643" s="191">
        <v>0</v>
      </c>
      <c r="L643" s="191">
        <v>0</v>
      </c>
      <c r="M643" s="191">
        <v>0</v>
      </c>
      <c r="N643" s="193">
        <v>5394</v>
      </c>
      <c r="O643" s="191">
        <v>0</v>
      </c>
      <c r="P643" s="191">
        <v>0</v>
      </c>
    </row>
    <row r="644" spans="1:16" x14ac:dyDescent="0.25">
      <c r="A644" s="190">
        <v>801010402</v>
      </c>
      <c r="B644" s="190" t="s">
        <v>426</v>
      </c>
      <c r="C644" s="190">
        <v>2711</v>
      </c>
      <c r="D644" s="190" t="s">
        <v>408</v>
      </c>
      <c r="E644" s="191">
        <v>0</v>
      </c>
      <c r="F644" s="191">
        <v>0</v>
      </c>
      <c r="G644" s="191">
        <v>0</v>
      </c>
      <c r="H644" s="191">
        <v>0</v>
      </c>
      <c r="I644" s="191">
        <v>0</v>
      </c>
      <c r="J644" s="193">
        <v>2842</v>
      </c>
      <c r="K644" s="191">
        <v>0</v>
      </c>
      <c r="L644" s="191">
        <v>0</v>
      </c>
      <c r="M644" s="191">
        <v>0</v>
      </c>
      <c r="N644" s="191">
        <v>0</v>
      </c>
      <c r="O644" s="191">
        <v>0</v>
      </c>
      <c r="P644" s="191">
        <v>0</v>
      </c>
    </row>
    <row r="645" spans="1:16" x14ac:dyDescent="0.25">
      <c r="A645" s="190">
        <v>801010402</v>
      </c>
      <c r="B645" s="190" t="s">
        <v>437</v>
      </c>
      <c r="C645" s="190">
        <v>2711</v>
      </c>
      <c r="D645" s="190" t="s">
        <v>408</v>
      </c>
      <c r="E645" s="191">
        <v>0</v>
      </c>
      <c r="F645" s="191">
        <v>0</v>
      </c>
      <c r="G645" s="191">
        <v>0</v>
      </c>
      <c r="H645" s="193">
        <v>16543.919999999998</v>
      </c>
      <c r="I645" s="191">
        <v>0</v>
      </c>
      <c r="J645" s="191">
        <v>0</v>
      </c>
      <c r="K645" s="191">
        <v>0</v>
      </c>
      <c r="L645" s="191">
        <v>0</v>
      </c>
      <c r="M645" s="191">
        <v>0</v>
      </c>
      <c r="N645" s="191">
        <v>0</v>
      </c>
      <c r="O645" s="191">
        <v>0</v>
      </c>
      <c r="P645" s="191">
        <v>0</v>
      </c>
    </row>
    <row r="646" spans="1:16" x14ac:dyDescent="0.25">
      <c r="A646" s="190">
        <v>801010402</v>
      </c>
      <c r="B646" s="190" t="s">
        <v>419</v>
      </c>
      <c r="C646" s="190">
        <v>2731</v>
      </c>
      <c r="D646" s="190" t="s">
        <v>408</v>
      </c>
      <c r="E646" s="191">
        <v>0</v>
      </c>
      <c r="F646" s="191">
        <v>0</v>
      </c>
      <c r="G646" s="191">
        <v>0</v>
      </c>
      <c r="H646" s="191">
        <v>0</v>
      </c>
      <c r="I646" s="191">
        <v>0</v>
      </c>
      <c r="J646" s="191">
        <v>0</v>
      </c>
      <c r="K646" s="191">
        <v>0</v>
      </c>
      <c r="L646" s="191">
        <v>0</v>
      </c>
      <c r="M646" s="191">
        <v>0</v>
      </c>
      <c r="N646" s="191">
        <v>0</v>
      </c>
      <c r="O646" s="193">
        <v>1501.04</v>
      </c>
      <c r="P646" s="191">
        <v>0</v>
      </c>
    </row>
    <row r="647" spans="1:16" x14ac:dyDescent="0.25">
      <c r="A647" s="190">
        <v>801010402</v>
      </c>
      <c r="B647" s="190" t="s">
        <v>422</v>
      </c>
      <c r="C647" s="190">
        <v>2731</v>
      </c>
      <c r="D647" s="190" t="s">
        <v>408</v>
      </c>
      <c r="E647" s="191">
        <v>0</v>
      </c>
      <c r="F647" s="191">
        <v>0</v>
      </c>
      <c r="G647" s="191">
        <v>0</v>
      </c>
      <c r="H647" s="191">
        <v>0</v>
      </c>
      <c r="I647" s="191">
        <v>0</v>
      </c>
      <c r="J647" s="191">
        <v>0</v>
      </c>
      <c r="K647" s="191">
        <v>345.68</v>
      </c>
      <c r="L647" s="191">
        <v>0</v>
      </c>
      <c r="M647" s="191">
        <v>0</v>
      </c>
      <c r="N647" s="191">
        <v>0</v>
      </c>
      <c r="O647" s="191">
        <v>0</v>
      </c>
      <c r="P647" s="191">
        <v>0</v>
      </c>
    </row>
    <row r="648" spans="1:16" x14ac:dyDescent="0.25">
      <c r="A648" s="190">
        <v>801010402</v>
      </c>
      <c r="B648" s="190" t="s">
        <v>424</v>
      </c>
      <c r="C648" s="190">
        <v>2731</v>
      </c>
      <c r="D648" s="190" t="s">
        <v>408</v>
      </c>
      <c r="E648" s="193">
        <v>1042.8399999999999</v>
      </c>
      <c r="F648" s="191">
        <v>0</v>
      </c>
      <c r="G648" s="191">
        <v>0</v>
      </c>
      <c r="H648" s="191">
        <v>0</v>
      </c>
      <c r="I648" s="191">
        <v>0</v>
      </c>
      <c r="J648" s="191">
        <v>0</v>
      </c>
      <c r="K648" s="191">
        <v>0</v>
      </c>
      <c r="L648" s="191">
        <v>0</v>
      </c>
      <c r="M648" s="191">
        <v>0</v>
      </c>
      <c r="N648" s="191">
        <v>0</v>
      </c>
      <c r="O648" s="191">
        <v>0</v>
      </c>
      <c r="P648" s="191">
        <v>0</v>
      </c>
    </row>
    <row r="649" spans="1:16" x14ac:dyDescent="0.25">
      <c r="A649" s="190">
        <v>801010402</v>
      </c>
      <c r="B649" s="190" t="s">
        <v>429</v>
      </c>
      <c r="C649" s="190">
        <v>2731</v>
      </c>
      <c r="D649" s="190" t="s">
        <v>408</v>
      </c>
      <c r="E649" s="191">
        <v>0</v>
      </c>
      <c r="F649" s="191">
        <v>0</v>
      </c>
      <c r="G649" s="191">
        <v>0</v>
      </c>
      <c r="H649" s="191">
        <v>0</v>
      </c>
      <c r="I649" s="191">
        <v>0</v>
      </c>
      <c r="J649" s="191">
        <v>0</v>
      </c>
      <c r="K649" s="191">
        <v>0</v>
      </c>
      <c r="L649" s="191">
        <v>0</v>
      </c>
      <c r="M649" s="191">
        <v>0</v>
      </c>
      <c r="N649" s="191">
        <v>0</v>
      </c>
      <c r="O649" s="191">
        <v>562</v>
      </c>
      <c r="P649" s="191">
        <v>0</v>
      </c>
    </row>
    <row r="650" spans="1:16" x14ac:dyDescent="0.25">
      <c r="A650" s="190">
        <v>801010402</v>
      </c>
      <c r="B650" s="190" t="s">
        <v>431</v>
      </c>
      <c r="C650" s="190">
        <v>2731</v>
      </c>
      <c r="D650" s="190" t="s">
        <v>408</v>
      </c>
      <c r="E650" s="191">
        <v>0</v>
      </c>
      <c r="F650" s="191">
        <v>0</v>
      </c>
      <c r="G650" s="191">
        <v>0</v>
      </c>
      <c r="H650" s="191">
        <v>0</v>
      </c>
      <c r="I650" s="191">
        <v>0</v>
      </c>
      <c r="J650" s="191">
        <v>0</v>
      </c>
      <c r="K650" s="193">
        <v>8092.16</v>
      </c>
      <c r="L650" s="191">
        <v>0</v>
      </c>
      <c r="M650" s="191">
        <v>0</v>
      </c>
      <c r="N650" s="191">
        <v>0</v>
      </c>
      <c r="O650" s="191">
        <v>0</v>
      </c>
      <c r="P650" s="191">
        <v>0</v>
      </c>
    </row>
    <row r="651" spans="1:16" x14ac:dyDescent="0.25">
      <c r="A651" s="190">
        <v>801010402</v>
      </c>
      <c r="B651" s="190" t="s">
        <v>433</v>
      </c>
      <c r="C651" s="190">
        <v>2731</v>
      </c>
      <c r="D651" s="190" t="s">
        <v>408</v>
      </c>
      <c r="E651" s="191">
        <v>0</v>
      </c>
      <c r="F651" s="191">
        <v>0</v>
      </c>
      <c r="G651" s="191">
        <v>0</v>
      </c>
      <c r="H651" s="191">
        <v>0</v>
      </c>
      <c r="I651" s="191">
        <v>0</v>
      </c>
      <c r="J651" s="193">
        <v>4947.3999999999996</v>
      </c>
      <c r="K651" s="191">
        <v>0</v>
      </c>
      <c r="L651" s="191">
        <v>0</v>
      </c>
      <c r="M651" s="191">
        <v>0</v>
      </c>
      <c r="N651" s="191">
        <v>0</v>
      </c>
      <c r="O651" s="191">
        <v>0</v>
      </c>
      <c r="P651" s="191">
        <v>0</v>
      </c>
    </row>
    <row r="652" spans="1:16" x14ac:dyDescent="0.25">
      <c r="A652" s="190">
        <v>801010402</v>
      </c>
      <c r="B652" s="190" t="s">
        <v>424</v>
      </c>
      <c r="C652" s="190">
        <v>2741</v>
      </c>
      <c r="D652" s="190" t="s">
        <v>408</v>
      </c>
      <c r="E652" s="191">
        <v>0</v>
      </c>
      <c r="F652" s="191">
        <v>0</v>
      </c>
      <c r="G652" s="191">
        <v>0</v>
      </c>
      <c r="H652" s="191">
        <v>0</v>
      </c>
      <c r="I652" s="191">
        <v>0</v>
      </c>
      <c r="J652" s="191">
        <v>0</v>
      </c>
      <c r="K652" s="191">
        <v>0</v>
      </c>
      <c r="L652" s="191">
        <v>0</v>
      </c>
      <c r="M652" s="191">
        <v>0</v>
      </c>
      <c r="N652" s="191">
        <v>0</v>
      </c>
      <c r="O652" s="191">
        <v>0</v>
      </c>
      <c r="P652" s="193">
        <v>84808.06</v>
      </c>
    </row>
    <row r="653" spans="1:16" x14ac:dyDescent="0.25">
      <c r="A653" s="190">
        <v>801010402</v>
      </c>
      <c r="B653" s="190" t="s">
        <v>437</v>
      </c>
      <c r="C653" s="190">
        <v>2741</v>
      </c>
      <c r="D653" s="190" t="s">
        <v>408</v>
      </c>
      <c r="E653" s="191">
        <v>0</v>
      </c>
      <c r="F653" s="191">
        <v>0</v>
      </c>
      <c r="G653" s="191">
        <v>0</v>
      </c>
      <c r="H653" s="191">
        <v>0</v>
      </c>
      <c r="I653" s="191">
        <v>0</v>
      </c>
      <c r="J653" s="191">
        <v>0</v>
      </c>
      <c r="K653" s="191">
        <v>0</v>
      </c>
      <c r="L653" s="191">
        <v>0</v>
      </c>
      <c r="M653" s="191">
        <v>0</v>
      </c>
      <c r="N653" s="191">
        <v>0</v>
      </c>
      <c r="O653" s="191">
        <v>0</v>
      </c>
      <c r="P653" s="193">
        <v>364801.44</v>
      </c>
    </row>
    <row r="654" spans="1:16" x14ac:dyDescent="0.25">
      <c r="A654" s="190">
        <v>801010402</v>
      </c>
      <c r="B654" s="190" t="s">
        <v>407</v>
      </c>
      <c r="C654" s="190">
        <v>2911</v>
      </c>
      <c r="D654" s="190" t="s">
        <v>408</v>
      </c>
      <c r="E654" s="191">
        <v>0</v>
      </c>
      <c r="F654" s="191">
        <v>0</v>
      </c>
      <c r="G654" s="193">
        <v>3559.31</v>
      </c>
      <c r="H654" s="191">
        <v>0</v>
      </c>
      <c r="I654" s="191">
        <v>0</v>
      </c>
      <c r="J654" s="191">
        <v>0</v>
      </c>
      <c r="K654" s="191">
        <v>0</v>
      </c>
      <c r="L654" s="191">
        <v>0</v>
      </c>
      <c r="M654" s="191">
        <v>0</v>
      </c>
      <c r="N654" s="191">
        <v>0</v>
      </c>
      <c r="O654" s="191">
        <v>0</v>
      </c>
      <c r="P654" s="193">
        <v>1673.49</v>
      </c>
    </row>
    <row r="655" spans="1:16" x14ac:dyDescent="0.25">
      <c r="A655" s="190">
        <v>801010402</v>
      </c>
      <c r="B655" s="190" t="s">
        <v>425</v>
      </c>
      <c r="C655" s="190">
        <v>2911</v>
      </c>
      <c r="D655" s="190" t="s">
        <v>408</v>
      </c>
      <c r="E655" s="191">
        <v>0</v>
      </c>
      <c r="F655" s="191">
        <v>0</v>
      </c>
      <c r="G655" s="191">
        <v>0</v>
      </c>
      <c r="H655" s="191">
        <v>0</v>
      </c>
      <c r="I655" s="191">
        <v>0</v>
      </c>
      <c r="J655" s="191">
        <v>0</v>
      </c>
      <c r="K655" s="191">
        <v>0</v>
      </c>
      <c r="L655" s="193">
        <v>1632</v>
      </c>
      <c r="M655" s="191">
        <v>0</v>
      </c>
      <c r="N655" s="191">
        <v>0</v>
      </c>
      <c r="O655" s="191">
        <v>0</v>
      </c>
      <c r="P655" s="191">
        <v>0</v>
      </c>
    </row>
    <row r="656" spans="1:16" x14ac:dyDescent="0.25">
      <c r="A656" s="190">
        <v>801010402</v>
      </c>
      <c r="B656" s="190" t="s">
        <v>426</v>
      </c>
      <c r="C656" s="190">
        <v>2911</v>
      </c>
      <c r="D656" s="190" t="s">
        <v>408</v>
      </c>
      <c r="E656" s="191">
        <v>0</v>
      </c>
      <c r="F656" s="191">
        <v>0</v>
      </c>
      <c r="G656" s="191">
        <v>0</v>
      </c>
      <c r="H656" s="191">
        <v>0</v>
      </c>
      <c r="I656" s="191">
        <v>0</v>
      </c>
      <c r="J656" s="191">
        <v>0</v>
      </c>
      <c r="K656" s="191">
        <v>0</v>
      </c>
      <c r="L656" s="191">
        <v>812</v>
      </c>
      <c r="M656" s="191">
        <v>0</v>
      </c>
      <c r="N656" s="191">
        <v>0</v>
      </c>
      <c r="O656" s="191">
        <v>0</v>
      </c>
      <c r="P656" s="191">
        <v>0</v>
      </c>
    </row>
    <row r="657" spans="1:16" x14ac:dyDescent="0.25">
      <c r="A657" s="190">
        <v>801010402</v>
      </c>
      <c r="B657" s="190" t="s">
        <v>431</v>
      </c>
      <c r="C657" s="190">
        <v>2911</v>
      </c>
      <c r="D657" s="190" t="s">
        <v>408</v>
      </c>
      <c r="E657" s="191">
        <v>0</v>
      </c>
      <c r="F657" s="191">
        <v>0</v>
      </c>
      <c r="G657" s="191">
        <v>0</v>
      </c>
      <c r="H657" s="191">
        <v>0</v>
      </c>
      <c r="I657" s="191">
        <v>0</v>
      </c>
      <c r="J657" s="191">
        <v>0</v>
      </c>
      <c r="K657" s="191">
        <v>0</v>
      </c>
      <c r="L657" s="193">
        <v>1663.81</v>
      </c>
      <c r="M657" s="191">
        <v>0</v>
      </c>
      <c r="N657" s="191">
        <v>0</v>
      </c>
      <c r="O657" s="191">
        <v>0</v>
      </c>
      <c r="P657" s="191">
        <v>0</v>
      </c>
    </row>
    <row r="658" spans="1:16" x14ac:dyDescent="0.25">
      <c r="A658" s="190">
        <v>801010402</v>
      </c>
      <c r="B658" s="190" t="s">
        <v>434</v>
      </c>
      <c r="C658" s="190">
        <v>2911</v>
      </c>
      <c r="D658" s="190" t="s">
        <v>408</v>
      </c>
      <c r="E658" s="191">
        <v>0</v>
      </c>
      <c r="F658" s="191">
        <v>0</v>
      </c>
      <c r="G658" s="191">
        <v>0</v>
      </c>
      <c r="H658" s="191">
        <v>0</v>
      </c>
      <c r="I658" s="191">
        <v>0</v>
      </c>
      <c r="J658" s="191">
        <v>0</v>
      </c>
      <c r="K658" s="191">
        <v>0</v>
      </c>
      <c r="L658" s="191">
        <v>0</v>
      </c>
      <c r="M658" s="191">
        <v>0</v>
      </c>
      <c r="N658" s="191">
        <v>0</v>
      </c>
      <c r="O658" s="191">
        <v>0</v>
      </c>
      <c r="P658" s="193">
        <v>2070.02</v>
      </c>
    </row>
    <row r="659" spans="1:16" x14ac:dyDescent="0.25">
      <c r="A659" s="190">
        <v>801010402</v>
      </c>
      <c r="B659" s="190" t="s">
        <v>436</v>
      </c>
      <c r="C659" s="190">
        <v>2911</v>
      </c>
      <c r="D659" s="190" t="s">
        <v>408</v>
      </c>
      <c r="E659" s="191">
        <v>0</v>
      </c>
      <c r="F659" s="191">
        <v>0</v>
      </c>
      <c r="G659" s="191">
        <v>0</v>
      </c>
      <c r="H659" s="191">
        <v>0</v>
      </c>
      <c r="I659" s="191">
        <v>0</v>
      </c>
      <c r="J659" s="191">
        <v>0</v>
      </c>
      <c r="K659" s="191">
        <v>0</v>
      </c>
      <c r="L659" s="191">
        <v>0</v>
      </c>
      <c r="M659" s="191">
        <v>0</v>
      </c>
      <c r="N659" s="193">
        <v>1283.25</v>
      </c>
      <c r="O659" s="191">
        <v>0</v>
      </c>
      <c r="P659" s="191">
        <v>0</v>
      </c>
    </row>
    <row r="660" spans="1:16" x14ac:dyDescent="0.25">
      <c r="A660" s="190">
        <v>801010402</v>
      </c>
      <c r="B660" s="190" t="s">
        <v>437</v>
      </c>
      <c r="C660" s="190">
        <v>2911</v>
      </c>
      <c r="D660" s="190" t="s">
        <v>408</v>
      </c>
      <c r="E660" s="191">
        <v>0</v>
      </c>
      <c r="F660" s="191">
        <v>0</v>
      </c>
      <c r="G660" s="191">
        <v>0</v>
      </c>
      <c r="H660" s="191">
        <v>0</v>
      </c>
      <c r="I660" s="191">
        <v>0</v>
      </c>
      <c r="J660" s="193">
        <v>13639.4</v>
      </c>
      <c r="K660" s="191">
        <v>0</v>
      </c>
      <c r="L660" s="191">
        <v>0</v>
      </c>
      <c r="M660" s="191">
        <v>0</v>
      </c>
      <c r="N660" s="191">
        <v>0</v>
      </c>
      <c r="O660" s="191">
        <v>0</v>
      </c>
      <c r="P660" s="191">
        <v>0</v>
      </c>
    </row>
    <row r="661" spans="1:16" x14ac:dyDescent="0.25">
      <c r="A661" s="190">
        <v>801010402</v>
      </c>
      <c r="B661" s="190" t="s">
        <v>407</v>
      </c>
      <c r="C661" s="190">
        <v>2921</v>
      </c>
      <c r="D661" s="190" t="s">
        <v>408</v>
      </c>
      <c r="E661" s="191">
        <v>0</v>
      </c>
      <c r="F661" s="191">
        <v>0</v>
      </c>
      <c r="G661" s="193">
        <v>4825.6000000000004</v>
      </c>
      <c r="H661" s="191">
        <v>0</v>
      </c>
      <c r="I661" s="191">
        <v>0</v>
      </c>
      <c r="J661" s="191">
        <v>0</v>
      </c>
      <c r="K661" s="191">
        <v>0</v>
      </c>
      <c r="L661" s="191">
        <v>0</v>
      </c>
      <c r="M661" s="191">
        <v>0</v>
      </c>
      <c r="N661" s="191">
        <v>0</v>
      </c>
      <c r="O661" s="191">
        <v>0</v>
      </c>
      <c r="P661" s="191">
        <v>0</v>
      </c>
    </row>
    <row r="662" spans="1:16" x14ac:dyDescent="0.25">
      <c r="A662" s="190">
        <v>801010402</v>
      </c>
      <c r="B662" s="190" t="s">
        <v>431</v>
      </c>
      <c r="C662" s="190">
        <v>2921</v>
      </c>
      <c r="D662" s="190" t="s">
        <v>408</v>
      </c>
      <c r="E662" s="191">
        <v>0</v>
      </c>
      <c r="F662" s="191">
        <v>0</v>
      </c>
      <c r="G662" s="191">
        <v>0</v>
      </c>
      <c r="H662" s="191">
        <v>0</v>
      </c>
      <c r="I662" s="191">
        <v>0</v>
      </c>
      <c r="J662" s="191">
        <v>0</v>
      </c>
      <c r="K662" s="191">
        <v>0</v>
      </c>
      <c r="L662" s="193">
        <v>1102</v>
      </c>
      <c r="M662" s="191">
        <v>0</v>
      </c>
      <c r="N662" s="191">
        <v>0</v>
      </c>
      <c r="O662" s="191">
        <v>0</v>
      </c>
      <c r="P662" s="191">
        <v>0</v>
      </c>
    </row>
    <row r="663" spans="1:16" x14ac:dyDescent="0.25">
      <c r="A663" s="190">
        <v>801010402</v>
      </c>
      <c r="B663" s="190" t="s">
        <v>437</v>
      </c>
      <c r="C663" s="190">
        <v>2921</v>
      </c>
      <c r="D663" s="190" t="s">
        <v>408</v>
      </c>
      <c r="E663" s="191">
        <v>0</v>
      </c>
      <c r="F663" s="191">
        <v>0</v>
      </c>
      <c r="G663" s="191">
        <v>0</v>
      </c>
      <c r="H663" s="191">
        <v>0</v>
      </c>
      <c r="I663" s="191">
        <v>0</v>
      </c>
      <c r="J663" s="191">
        <v>0</v>
      </c>
      <c r="K663" s="191">
        <v>0</v>
      </c>
      <c r="L663" s="191">
        <v>299.98</v>
      </c>
      <c r="M663" s="191">
        <v>0</v>
      </c>
      <c r="N663" s="191">
        <v>0</v>
      </c>
      <c r="O663" s="191">
        <v>0</v>
      </c>
      <c r="P663" s="191">
        <v>0</v>
      </c>
    </row>
    <row r="664" spans="1:16" x14ac:dyDescent="0.25">
      <c r="A664" s="190">
        <v>801010402</v>
      </c>
      <c r="B664" s="190" t="s">
        <v>407</v>
      </c>
      <c r="C664" s="190">
        <v>2931</v>
      </c>
      <c r="D664" s="190" t="s">
        <v>408</v>
      </c>
      <c r="E664" s="191">
        <v>0</v>
      </c>
      <c r="F664" s="191">
        <v>0</v>
      </c>
      <c r="G664" s="191">
        <v>0</v>
      </c>
      <c r="H664" s="191">
        <v>962.8</v>
      </c>
      <c r="I664" s="191">
        <v>0</v>
      </c>
      <c r="J664" s="191">
        <v>406</v>
      </c>
      <c r="K664" s="191">
        <v>0</v>
      </c>
      <c r="L664" s="191">
        <v>512</v>
      </c>
      <c r="M664" s="191">
        <v>0</v>
      </c>
      <c r="N664" s="191">
        <v>0</v>
      </c>
      <c r="O664" s="191">
        <v>0</v>
      </c>
      <c r="P664" s="193">
        <v>5012.3599999999997</v>
      </c>
    </row>
    <row r="665" spans="1:16" x14ac:dyDescent="0.25">
      <c r="A665" s="190">
        <v>801010402</v>
      </c>
      <c r="B665" s="190" t="s">
        <v>430</v>
      </c>
      <c r="C665" s="190">
        <v>2931</v>
      </c>
      <c r="D665" s="190" t="s">
        <v>408</v>
      </c>
      <c r="E665" s="191">
        <v>0</v>
      </c>
      <c r="F665" s="191">
        <v>0</v>
      </c>
      <c r="G665" s="191">
        <v>0</v>
      </c>
      <c r="H665" s="191">
        <v>0</v>
      </c>
      <c r="I665" s="191">
        <v>0</v>
      </c>
      <c r="J665" s="191">
        <v>500.01</v>
      </c>
      <c r="K665" s="191">
        <v>0</v>
      </c>
      <c r="L665" s="191">
        <v>0</v>
      </c>
      <c r="M665" s="191">
        <v>0</v>
      </c>
      <c r="N665" s="191">
        <v>0</v>
      </c>
      <c r="O665" s="191">
        <v>0</v>
      </c>
      <c r="P665" s="191">
        <v>0</v>
      </c>
    </row>
    <row r="666" spans="1:16" x14ac:dyDescent="0.25">
      <c r="A666" s="190">
        <v>801010402</v>
      </c>
      <c r="B666" s="190" t="s">
        <v>407</v>
      </c>
      <c r="C666" s="190">
        <v>2941</v>
      </c>
      <c r="D666" s="190" t="s">
        <v>408</v>
      </c>
      <c r="E666" s="191">
        <v>0</v>
      </c>
      <c r="F666" s="191">
        <v>0</v>
      </c>
      <c r="G666" s="191">
        <v>0</v>
      </c>
      <c r="H666" s="193">
        <v>12070.97</v>
      </c>
      <c r="I666" s="191">
        <v>0</v>
      </c>
      <c r="J666" s="191">
        <v>0</v>
      </c>
      <c r="K666" s="191">
        <v>0</v>
      </c>
      <c r="L666" s="193">
        <v>2640.11</v>
      </c>
      <c r="M666" s="191">
        <v>0</v>
      </c>
      <c r="N666" s="193">
        <v>25031.360000000001</v>
      </c>
      <c r="O666" s="191">
        <v>0</v>
      </c>
      <c r="P666" s="193">
        <v>10761.41</v>
      </c>
    </row>
    <row r="667" spans="1:16" x14ac:dyDescent="0.25">
      <c r="A667" s="190">
        <v>801010402</v>
      </c>
      <c r="B667" s="190" t="s">
        <v>416</v>
      </c>
      <c r="C667" s="190">
        <v>2941</v>
      </c>
      <c r="D667" s="190" t="s">
        <v>408</v>
      </c>
      <c r="E667" s="191">
        <v>0</v>
      </c>
      <c r="F667" s="191">
        <v>0</v>
      </c>
      <c r="G667" s="191">
        <v>0</v>
      </c>
      <c r="H667" s="191">
        <v>0</v>
      </c>
      <c r="I667" s="191">
        <v>0</v>
      </c>
      <c r="J667" s="191">
        <v>0</v>
      </c>
      <c r="K667" s="191">
        <v>0</v>
      </c>
      <c r="L667" s="191">
        <v>0</v>
      </c>
      <c r="M667" s="191">
        <v>0</v>
      </c>
      <c r="N667" s="191">
        <v>0</v>
      </c>
      <c r="O667" s="191">
        <v>0</v>
      </c>
      <c r="P667" s="191">
        <v>261</v>
      </c>
    </row>
    <row r="668" spans="1:16" x14ac:dyDescent="0.25">
      <c r="A668" s="190">
        <v>801010402</v>
      </c>
      <c r="B668" s="190" t="s">
        <v>420</v>
      </c>
      <c r="C668" s="190">
        <v>2941</v>
      </c>
      <c r="D668" s="190" t="s">
        <v>408</v>
      </c>
      <c r="E668" s="191">
        <v>0</v>
      </c>
      <c r="F668" s="191">
        <v>0</v>
      </c>
      <c r="G668" s="191">
        <v>0</v>
      </c>
      <c r="H668" s="191">
        <v>0</v>
      </c>
      <c r="I668" s="191">
        <v>0</v>
      </c>
      <c r="J668" s="191">
        <v>0</v>
      </c>
      <c r="K668" s="193">
        <v>1732.75</v>
      </c>
      <c r="L668" s="191">
        <v>0</v>
      </c>
      <c r="M668" s="191">
        <v>0</v>
      </c>
      <c r="N668" s="191">
        <v>0</v>
      </c>
      <c r="O668" s="191">
        <v>0</v>
      </c>
      <c r="P668" s="191">
        <v>0</v>
      </c>
    </row>
    <row r="669" spans="1:16" x14ac:dyDescent="0.25">
      <c r="A669" s="190">
        <v>801010402</v>
      </c>
      <c r="B669" s="190" t="s">
        <v>422</v>
      </c>
      <c r="C669" s="190">
        <v>2941</v>
      </c>
      <c r="D669" s="190" t="s">
        <v>408</v>
      </c>
      <c r="E669" s="191">
        <v>0</v>
      </c>
      <c r="F669" s="191">
        <v>0</v>
      </c>
      <c r="G669" s="191">
        <v>0</v>
      </c>
      <c r="H669" s="191">
        <v>0</v>
      </c>
      <c r="I669" s="191">
        <v>0</v>
      </c>
      <c r="J669" s="191">
        <v>0</v>
      </c>
      <c r="K669" s="193">
        <v>1732.75</v>
      </c>
      <c r="L669" s="191">
        <v>0</v>
      </c>
      <c r="M669" s="191">
        <v>0</v>
      </c>
      <c r="N669" s="191">
        <v>0</v>
      </c>
      <c r="O669" s="191">
        <v>0</v>
      </c>
      <c r="P669" s="191">
        <v>0</v>
      </c>
    </row>
    <row r="670" spans="1:16" x14ac:dyDescent="0.25">
      <c r="A670" s="190">
        <v>801010402</v>
      </c>
      <c r="B670" s="190" t="s">
        <v>427</v>
      </c>
      <c r="C670" s="190">
        <v>2941</v>
      </c>
      <c r="D670" s="190" t="s">
        <v>408</v>
      </c>
      <c r="E670" s="191">
        <v>0</v>
      </c>
      <c r="F670" s="191">
        <v>0</v>
      </c>
      <c r="G670" s="191">
        <v>0</v>
      </c>
      <c r="H670" s="191">
        <v>0</v>
      </c>
      <c r="I670" s="191">
        <v>0</v>
      </c>
      <c r="J670" s="191">
        <v>0</v>
      </c>
      <c r="K670" s="193">
        <v>1732.75</v>
      </c>
      <c r="L670" s="191">
        <v>0</v>
      </c>
      <c r="M670" s="191">
        <v>0</v>
      </c>
      <c r="N670" s="191">
        <v>0</v>
      </c>
      <c r="O670" s="191">
        <v>0</v>
      </c>
      <c r="P670" s="191">
        <v>0</v>
      </c>
    </row>
    <row r="671" spans="1:16" x14ac:dyDescent="0.25">
      <c r="A671" s="190">
        <v>801010402</v>
      </c>
      <c r="B671" s="190" t="s">
        <v>429</v>
      </c>
      <c r="C671" s="190">
        <v>2941</v>
      </c>
      <c r="D671" s="190" t="s">
        <v>408</v>
      </c>
      <c r="E671" s="191">
        <v>0</v>
      </c>
      <c r="F671" s="191">
        <v>0</v>
      </c>
      <c r="G671" s="191">
        <v>0</v>
      </c>
      <c r="H671" s="191">
        <v>0</v>
      </c>
      <c r="I671" s="191">
        <v>0</v>
      </c>
      <c r="J671" s="193">
        <v>1624</v>
      </c>
      <c r="K671" s="193">
        <v>1732.75</v>
      </c>
      <c r="L671" s="191">
        <v>0</v>
      </c>
      <c r="M671" s="191">
        <v>0</v>
      </c>
      <c r="N671" s="191">
        <v>0</v>
      </c>
      <c r="O671" s="191">
        <v>0</v>
      </c>
      <c r="P671" s="191">
        <v>0</v>
      </c>
    </row>
    <row r="672" spans="1:16" x14ac:dyDescent="0.25">
      <c r="A672" s="190">
        <v>801010402</v>
      </c>
      <c r="B672" s="190" t="s">
        <v>430</v>
      </c>
      <c r="C672" s="190">
        <v>2941</v>
      </c>
      <c r="D672" s="190" t="s">
        <v>408</v>
      </c>
      <c r="E672" s="191">
        <v>0</v>
      </c>
      <c r="F672" s="191">
        <v>0</v>
      </c>
      <c r="G672" s="191">
        <v>0</v>
      </c>
      <c r="H672" s="191">
        <v>0</v>
      </c>
      <c r="I672" s="191">
        <v>0</v>
      </c>
      <c r="J672" s="191">
        <v>0</v>
      </c>
      <c r="K672" s="191">
        <v>0</v>
      </c>
      <c r="L672" s="191">
        <v>500.01</v>
      </c>
      <c r="M672" s="191">
        <v>0</v>
      </c>
      <c r="N672" s="191">
        <v>0</v>
      </c>
      <c r="O672" s="191">
        <v>0</v>
      </c>
      <c r="P672" s="191">
        <v>0</v>
      </c>
    </row>
    <row r="673" spans="1:16" x14ac:dyDescent="0.25">
      <c r="A673" s="190">
        <v>801010402</v>
      </c>
      <c r="B673" s="190" t="s">
        <v>421</v>
      </c>
      <c r="C673" s="190">
        <v>2961</v>
      </c>
      <c r="D673" s="190" t="s">
        <v>408</v>
      </c>
      <c r="E673" s="191">
        <v>0</v>
      </c>
      <c r="F673" s="191">
        <v>0</v>
      </c>
      <c r="G673" s="191">
        <v>0</v>
      </c>
      <c r="H673" s="191">
        <v>0</v>
      </c>
      <c r="I673" s="191">
        <v>0</v>
      </c>
      <c r="J673" s="191">
        <v>0</v>
      </c>
      <c r="K673" s="191">
        <v>0</v>
      </c>
      <c r="L673" s="191">
        <v>0</v>
      </c>
      <c r="M673" s="191">
        <v>0</v>
      </c>
      <c r="N673" s="193">
        <v>1622</v>
      </c>
      <c r="O673" s="191">
        <v>0</v>
      </c>
      <c r="P673" s="191">
        <v>0</v>
      </c>
    </row>
    <row r="674" spans="1:16" x14ac:dyDescent="0.25">
      <c r="A674" s="190">
        <v>801010402</v>
      </c>
      <c r="B674" s="190" t="s">
        <v>429</v>
      </c>
      <c r="C674" s="190">
        <v>2961</v>
      </c>
      <c r="D674" s="190" t="s">
        <v>408</v>
      </c>
      <c r="E674" s="191">
        <v>0</v>
      </c>
      <c r="F674" s="191">
        <v>0</v>
      </c>
      <c r="G674" s="191">
        <v>0</v>
      </c>
      <c r="H674" s="191">
        <v>0</v>
      </c>
      <c r="I674" s="191">
        <v>0</v>
      </c>
      <c r="J674" s="191">
        <v>0</v>
      </c>
      <c r="K674" s="191">
        <v>0</v>
      </c>
      <c r="L674" s="191">
        <v>0</v>
      </c>
      <c r="M674" s="193">
        <v>4800.03</v>
      </c>
      <c r="N674" s="191">
        <v>0</v>
      </c>
      <c r="O674" s="191">
        <v>0</v>
      </c>
      <c r="P674" s="191">
        <v>0</v>
      </c>
    </row>
    <row r="675" spans="1:16" x14ac:dyDescent="0.25">
      <c r="A675" s="190">
        <v>801010402</v>
      </c>
      <c r="B675" s="190" t="s">
        <v>435</v>
      </c>
      <c r="C675" s="190">
        <v>2961</v>
      </c>
      <c r="D675" s="190" t="s">
        <v>408</v>
      </c>
      <c r="E675" s="191">
        <v>0</v>
      </c>
      <c r="F675" s="191">
        <v>0</v>
      </c>
      <c r="G675" s="191">
        <v>0</v>
      </c>
      <c r="H675" s="191">
        <v>0</v>
      </c>
      <c r="I675" s="191">
        <v>0</v>
      </c>
      <c r="J675" s="191">
        <v>0</v>
      </c>
      <c r="K675" s="191">
        <v>0</v>
      </c>
      <c r="L675" s="191">
        <v>0</v>
      </c>
      <c r="M675" s="191">
        <v>0</v>
      </c>
      <c r="N675" s="191">
        <v>0</v>
      </c>
      <c r="O675" s="193">
        <v>4800.03</v>
      </c>
      <c r="P675" s="191">
        <v>0</v>
      </c>
    </row>
    <row r="676" spans="1:16" x14ac:dyDescent="0.25">
      <c r="A676" s="190">
        <v>801010402</v>
      </c>
      <c r="B676" s="190" t="s">
        <v>407</v>
      </c>
      <c r="C676" s="190">
        <v>2971</v>
      </c>
      <c r="D676" s="190" t="s">
        <v>408</v>
      </c>
      <c r="E676" s="191">
        <v>0</v>
      </c>
      <c r="F676" s="191">
        <v>0</v>
      </c>
      <c r="G676" s="193">
        <v>25410.959999999999</v>
      </c>
      <c r="H676" s="191">
        <v>0</v>
      </c>
      <c r="I676" s="191">
        <v>0</v>
      </c>
      <c r="J676" s="191">
        <v>0</v>
      </c>
      <c r="K676" s="191">
        <v>0</v>
      </c>
      <c r="L676" s="191">
        <v>0</v>
      </c>
      <c r="M676" s="191">
        <v>0</v>
      </c>
      <c r="N676" s="191">
        <v>0</v>
      </c>
      <c r="O676" s="191">
        <v>0</v>
      </c>
      <c r="P676" s="191">
        <v>0</v>
      </c>
    </row>
    <row r="677" spans="1:16" x14ac:dyDescent="0.25">
      <c r="A677" s="190">
        <v>801010402</v>
      </c>
      <c r="B677" s="190" t="s">
        <v>411</v>
      </c>
      <c r="C677" s="190">
        <v>2971</v>
      </c>
      <c r="D677" s="190" t="s">
        <v>408</v>
      </c>
      <c r="E677" s="191">
        <v>0</v>
      </c>
      <c r="F677" s="191">
        <v>0</v>
      </c>
      <c r="G677" s="191">
        <v>0</v>
      </c>
      <c r="H677" s="191">
        <v>0</v>
      </c>
      <c r="I677" s="191">
        <v>0</v>
      </c>
      <c r="J677" s="191">
        <v>0</v>
      </c>
      <c r="K677" s="191">
        <v>0</v>
      </c>
      <c r="L677" s="191">
        <v>0</v>
      </c>
      <c r="M677" s="191">
        <v>0</v>
      </c>
      <c r="N677" s="191">
        <v>0</v>
      </c>
      <c r="O677" s="193">
        <v>2074.08</v>
      </c>
      <c r="P677" s="191">
        <v>0</v>
      </c>
    </row>
    <row r="678" spans="1:16" x14ac:dyDescent="0.25">
      <c r="A678" s="190">
        <v>801010402</v>
      </c>
      <c r="B678" s="190" t="s">
        <v>415</v>
      </c>
      <c r="C678" s="190">
        <v>2971</v>
      </c>
      <c r="D678" s="190" t="s">
        <v>408</v>
      </c>
      <c r="E678" s="191">
        <v>0</v>
      </c>
      <c r="F678" s="191">
        <v>0</v>
      </c>
      <c r="G678" s="191">
        <v>0</v>
      </c>
      <c r="H678" s="191">
        <v>0</v>
      </c>
      <c r="I678" s="191">
        <v>0</v>
      </c>
      <c r="J678" s="193">
        <v>2401.1999999999998</v>
      </c>
      <c r="K678" s="191">
        <v>0</v>
      </c>
      <c r="L678" s="191">
        <v>0</v>
      </c>
      <c r="M678" s="191">
        <v>0</v>
      </c>
      <c r="N678" s="191">
        <v>0</v>
      </c>
      <c r="O678" s="191">
        <v>0</v>
      </c>
      <c r="P678" s="191">
        <v>0</v>
      </c>
    </row>
    <row r="679" spans="1:16" x14ac:dyDescent="0.25">
      <c r="A679" s="190">
        <v>801010402</v>
      </c>
      <c r="B679" s="190" t="s">
        <v>416</v>
      </c>
      <c r="C679" s="190">
        <v>2971</v>
      </c>
      <c r="D679" s="190" t="s">
        <v>408</v>
      </c>
      <c r="E679" s="191">
        <v>0</v>
      </c>
      <c r="F679" s="191">
        <v>0</v>
      </c>
      <c r="G679" s="191">
        <v>0</v>
      </c>
      <c r="H679" s="191">
        <v>0</v>
      </c>
      <c r="I679" s="191">
        <v>0</v>
      </c>
      <c r="J679" s="191">
        <v>0</v>
      </c>
      <c r="K679" s="193">
        <v>3700</v>
      </c>
      <c r="L679" s="191">
        <v>0</v>
      </c>
      <c r="M679" s="191">
        <v>0</v>
      </c>
      <c r="N679" s="191">
        <v>0</v>
      </c>
      <c r="O679" s="191">
        <v>0</v>
      </c>
      <c r="P679" s="191">
        <v>0</v>
      </c>
    </row>
    <row r="680" spans="1:16" x14ac:dyDescent="0.25">
      <c r="A680" s="190">
        <v>801010402</v>
      </c>
      <c r="B680" s="190" t="s">
        <v>419</v>
      </c>
      <c r="C680" s="190">
        <v>2971</v>
      </c>
      <c r="D680" s="190" t="s">
        <v>408</v>
      </c>
      <c r="E680" s="191">
        <v>0</v>
      </c>
      <c r="F680" s="191">
        <v>0</v>
      </c>
      <c r="G680" s="191">
        <v>0</v>
      </c>
      <c r="H680" s="191">
        <v>0</v>
      </c>
      <c r="I680" s="191">
        <v>0</v>
      </c>
      <c r="J680" s="193">
        <v>2139.04</v>
      </c>
      <c r="K680" s="191">
        <v>0</v>
      </c>
      <c r="L680" s="191">
        <v>0</v>
      </c>
      <c r="M680" s="191">
        <v>0</v>
      </c>
      <c r="N680" s="191">
        <v>0</v>
      </c>
      <c r="O680" s="191">
        <v>0</v>
      </c>
      <c r="P680" s="191">
        <v>0</v>
      </c>
    </row>
    <row r="681" spans="1:16" x14ac:dyDescent="0.25">
      <c r="A681" s="190">
        <v>801010402</v>
      </c>
      <c r="B681" s="190" t="s">
        <v>426</v>
      </c>
      <c r="C681" s="190">
        <v>2971</v>
      </c>
      <c r="D681" s="190" t="s">
        <v>408</v>
      </c>
      <c r="E681" s="191">
        <v>0</v>
      </c>
      <c r="F681" s="191">
        <v>0</v>
      </c>
      <c r="G681" s="191">
        <v>0</v>
      </c>
      <c r="H681" s="191">
        <v>0</v>
      </c>
      <c r="I681" s="191">
        <v>0</v>
      </c>
      <c r="J681" s="193">
        <v>1024.28</v>
      </c>
      <c r="K681" s="191">
        <v>0</v>
      </c>
      <c r="L681" s="191">
        <v>0</v>
      </c>
      <c r="M681" s="191">
        <v>0</v>
      </c>
      <c r="N681" s="191">
        <v>0</v>
      </c>
      <c r="O681" s="191">
        <v>0</v>
      </c>
      <c r="P681" s="191">
        <v>0</v>
      </c>
    </row>
    <row r="682" spans="1:16" x14ac:dyDescent="0.25">
      <c r="A682" s="190">
        <v>801010402</v>
      </c>
      <c r="B682" s="190" t="s">
        <v>432</v>
      </c>
      <c r="C682" s="190">
        <v>2971</v>
      </c>
      <c r="D682" s="190" t="s">
        <v>409</v>
      </c>
      <c r="E682" s="191">
        <v>0</v>
      </c>
      <c r="F682" s="191">
        <v>0</v>
      </c>
      <c r="G682" s="191">
        <v>0</v>
      </c>
      <c r="H682" s="191">
        <v>0</v>
      </c>
      <c r="I682" s="191">
        <v>0</v>
      </c>
      <c r="J682" s="191">
        <v>0</v>
      </c>
      <c r="K682" s="191">
        <v>0</v>
      </c>
      <c r="L682" s="193">
        <v>3503.2</v>
      </c>
      <c r="M682" s="191">
        <v>0</v>
      </c>
      <c r="N682" s="191">
        <v>0</v>
      </c>
      <c r="O682" s="191">
        <v>0</v>
      </c>
      <c r="P682" s="191">
        <v>0</v>
      </c>
    </row>
    <row r="683" spans="1:16" x14ac:dyDescent="0.25">
      <c r="A683" s="190">
        <v>801010402</v>
      </c>
      <c r="B683" s="190" t="s">
        <v>432</v>
      </c>
      <c r="C683" s="190">
        <v>2971</v>
      </c>
      <c r="D683" s="190" t="s">
        <v>408</v>
      </c>
      <c r="E683" s="191">
        <v>0</v>
      </c>
      <c r="F683" s="191">
        <v>0</v>
      </c>
      <c r="G683" s="191">
        <v>0</v>
      </c>
      <c r="H683" s="191">
        <v>0</v>
      </c>
      <c r="I683" s="191">
        <v>0</v>
      </c>
      <c r="J683" s="191">
        <v>0</v>
      </c>
      <c r="K683" s="193">
        <v>6113.2</v>
      </c>
      <c r="L683" s="191">
        <v>0</v>
      </c>
      <c r="M683" s="191">
        <v>0</v>
      </c>
      <c r="N683" s="191">
        <v>0</v>
      </c>
      <c r="O683" s="191">
        <v>0</v>
      </c>
      <c r="P683" s="191">
        <v>0</v>
      </c>
    </row>
    <row r="684" spans="1:16" x14ac:dyDescent="0.25">
      <c r="A684" s="190">
        <v>801010402</v>
      </c>
      <c r="B684" s="190" t="s">
        <v>407</v>
      </c>
      <c r="C684" s="190">
        <v>2981</v>
      </c>
      <c r="D684" s="190" t="s">
        <v>408</v>
      </c>
      <c r="E684" s="191">
        <v>0</v>
      </c>
      <c r="F684" s="191">
        <v>0</v>
      </c>
      <c r="G684" s="191">
        <v>0</v>
      </c>
      <c r="H684" s="191">
        <v>0</v>
      </c>
      <c r="I684" s="191">
        <v>0</v>
      </c>
      <c r="J684" s="191">
        <v>0</v>
      </c>
      <c r="K684" s="191">
        <v>0</v>
      </c>
      <c r="L684" s="193">
        <v>9484.86</v>
      </c>
      <c r="M684" s="191">
        <v>0</v>
      </c>
      <c r="N684" s="191">
        <v>0</v>
      </c>
      <c r="O684" s="191">
        <v>0</v>
      </c>
      <c r="P684" s="191">
        <v>0</v>
      </c>
    </row>
    <row r="685" spans="1:16" x14ac:dyDescent="0.25">
      <c r="A685" s="190">
        <v>801010402</v>
      </c>
      <c r="B685" s="190" t="s">
        <v>419</v>
      </c>
      <c r="C685" s="190">
        <v>2981</v>
      </c>
      <c r="D685" s="190" t="s">
        <v>408</v>
      </c>
      <c r="E685" s="191">
        <v>0</v>
      </c>
      <c r="F685" s="191">
        <v>0</v>
      </c>
      <c r="G685" s="191">
        <v>0</v>
      </c>
      <c r="H685" s="191">
        <v>0</v>
      </c>
      <c r="I685" s="191">
        <v>0</v>
      </c>
      <c r="J685" s="193">
        <v>1240</v>
      </c>
      <c r="K685" s="191">
        <v>0</v>
      </c>
      <c r="L685" s="191">
        <v>0</v>
      </c>
      <c r="M685" s="191">
        <v>0</v>
      </c>
      <c r="N685" s="191">
        <v>0</v>
      </c>
      <c r="O685" s="191">
        <v>0</v>
      </c>
      <c r="P685" s="191">
        <v>0</v>
      </c>
    </row>
    <row r="686" spans="1:16" x14ac:dyDescent="0.25">
      <c r="A686" s="190">
        <v>801010402</v>
      </c>
      <c r="B686" s="190" t="s">
        <v>437</v>
      </c>
      <c r="C686" s="190">
        <v>2981</v>
      </c>
      <c r="D686" s="190" t="s">
        <v>408</v>
      </c>
      <c r="E686" s="191">
        <v>0</v>
      </c>
      <c r="F686" s="191">
        <v>0</v>
      </c>
      <c r="G686" s="191">
        <v>0</v>
      </c>
      <c r="H686" s="191">
        <v>0</v>
      </c>
      <c r="I686" s="191">
        <v>0</v>
      </c>
      <c r="J686" s="193">
        <v>13565.04</v>
      </c>
      <c r="K686" s="191">
        <v>0</v>
      </c>
      <c r="L686" s="191">
        <v>0</v>
      </c>
      <c r="M686" s="191">
        <v>0</v>
      </c>
      <c r="N686" s="191">
        <v>0</v>
      </c>
      <c r="O686" s="191">
        <v>0</v>
      </c>
      <c r="P686" s="191">
        <v>0</v>
      </c>
    </row>
    <row r="687" spans="1:16" x14ac:dyDescent="0.25">
      <c r="A687" s="190">
        <v>801010402</v>
      </c>
      <c r="B687" s="190" t="s">
        <v>407</v>
      </c>
      <c r="C687" s="190">
        <v>2992</v>
      </c>
      <c r="D687" s="190" t="s">
        <v>408</v>
      </c>
      <c r="E687" s="193">
        <v>10052.01</v>
      </c>
      <c r="F687" s="191">
        <v>0</v>
      </c>
      <c r="G687" s="193">
        <v>2060.36</v>
      </c>
      <c r="H687" s="193">
        <v>19551.07</v>
      </c>
      <c r="I687" s="191">
        <v>0</v>
      </c>
      <c r="J687" s="193">
        <v>4800.08</v>
      </c>
      <c r="K687" s="191">
        <v>0</v>
      </c>
      <c r="L687" s="193">
        <v>19465.75</v>
      </c>
      <c r="M687" s="191">
        <v>0</v>
      </c>
      <c r="N687" s="191">
        <v>0</v>
      </c>
      <c r="O687" s="191">
        <v>0</v>
      </c>
      <c r="P687" s="191">
        <v>0</v>
      </c>
    </row>
    <row r="688" spans="1:16" x14ac:dyDescent="0.25">
      <c r="A688" s="190">
        <v>801010402</v>
      </c>
      <c r="B688" s="190" t="s">
        <v>410</v>
      </c>
      <c r="C688" s="190">
        <v>2992</v>
      </c>
      <c r="D688" s="190" t="s">
        <v>408</v>
      </c>
      <c r="E688" s="191">
        <v>0</v>
      </c>
      <c r="F688" s="191">
        <v>0</v>
      </c>
      <c r="G688" s="191">
        <v>686.78</v>
      </c>
      <c r="H688" s="191">
        <v>0</v>
      </c>
      <c r="I688" s="191">
        <v>0</v>
      </c>
      <c r="J688" s="191">
        <v>0</v>
      </c>
      <c r="K688" s="191">
        <v>0</v>
      </c>
      <c r="L688" s="193">
        <v>1800</v>
      </c>
      <c r="M688" s="191">
        <v>0</v>
      </c>
      <c r="N688" s="191">
        <v>0</v>
      </c>
      <c r="O688" s="191">
        <v>0</v>
      </c>
      <c r="P688" s="191">
        <v>0</v>
      </c>
    </row>
    <row r="689" spans="1:16" x14ac:dyDescent="0.25">
      <c r="A689" s="190">
        <v>801010402</v>
      </c>
      <c r="B689" s="190" t="s">
        <v>411</v>
      </c>
      <c r="C689" s="190">
        <v>2992</v>
      </c>
      <c r="D689" s="190" t="s">
        <v>408</v>
      </c>
      <c r="E689" s="191">
        <v>0</v>
      </c>
      <c r="F689" s="191">
        <v>0</v>
      </c>
      <c r="G689" s="191">
        <v>686.78</v>
      </c>
      <c r="H689" s="191">
        <v>0</v>
      </c>
      <c r="I689" s="191">
        <v>0</v>
      </c>
      <c r="J689" s="191">
        <v>0</v>
      </c>
      <c r="K689" s="191">
        <v>0</v>
      </c>
      <c r="L689" s="191">
        <v>0</v>
      </c>
      <c r="M689" s="191">
        <v>0</v>
      </c>
      <c r="N689" s="191">
        <v>0</v>
      </c>
      <c r="O689" s="191">
        <v>0</v>
      </c>
      <c r="P689" s="191">
        <v>0</v>
      </c>
    </row>
    <row r="690" spans="1:16" x14ac:dyDescent="0.25">
      <c r="A690" s="190">
        <v>801010402</v>
      </c>
      <c r="B690" s="190" t="s">
        <v>412</v>
      </c>
      <c r="C690" s="190">
        <v>2992</v>
      </c>
      <c r="D690" s="190" t="s">
        <v>408</v>
      </c>
      <c r="E690" s="191">
        <v>0</v>
      </c>
      <c r="F690" s="191">
        <v>0</v>
      </c>
      <c r="G690" s="191">
        <v>686.78</v>
      </c>
      <c r="H690" s="191">
        <v>0</v>
      </c>
      <c r="I690" s="191">
        <v>0</v>
      </c>
      <c r="J690" s="191">
        <v>0</v>
      </c>
      <c r="K690" s="191">
        <v>0</v>
      </c>
      <c r="L690" s="191">
        <v>0</v>
      </c>
      <c r="M690" s="191">
        <v>0</v>
      </c>
      <c r="N690" s="191">
        <v>0</v>
      </c>
      <c r="O690" s="191">
        <v>0</v>
      </c>
      <c r="P690" s="191">
        <v>0</v>
      </c>
    </row>
    <row r="691" spans="1:16" x14ac:dyDescent="0.25">
      <c r="A691" s="190">
        <v>801010402</v>
      </c>
      <c r="B691" s="190" t="s">
        <v>413</v>
      </c>
      <c r="C691" s="190">
        <v>2992</v>
      </c>
      <c r="D691" s="190" t="s">
        <v>408</v>
      </c>
      <c r="E691" s="191">
        <v>0</v>
      </c>
      <c r="F691" s="191">
        <v>0</v>
      </c>
      <c r="G691" s="191">
        <v>686.78</v>
      </c>
      <c r="H691" s="191">
        <v>0</v>
      </c>
      <c r="I691" s="191">
        <v>0</v>
      </c>
      <c r="J691" s="191">
        <v>0</v>
      </c>
      <c r="K691" s="191">
        <v>0</v>
      </c>
      <c r="L691" s="193">
        <v>4502.12</v>
      </c>
      <c r="M691" s="191">
        <v>0</v>
      </c>
      <c r="N691" s="191">
        <v>0</v>
      </c>
      <c r="O691" s="191">
        <v>0</v>
      </c>
      <c r="P691" s="191">
        <v>0</v>
      </c>
    </row>
    <row r="692" spans="1:16" x14ac:dyDescent="0.25">
      <c r="A692" s="190">
        <v>801010402</v>
      </c>
      <c r="B692" s="190" t="s">
        <v>414</v>
      </c>
      <c r="C692" s="190">
        <v>2992</v>
      </c>
      <c r="D692" s="190" t="s">
        <v>408</v>
      </c>
      <c r="E692" s="191">
        <v>0</v>
      </c>
      <c r="F692" s="191">
        <v>0</v>
      </c>
      <c r="G692" s="191">
        <v>686.78</v>
      </c>
      <c r="H692" s="191">
        <v>0</v>
      </c>
      <c r="I692" s="191">
        <v>0</v>
      </c>
      <c r="J692" s="191">
        <v>0</v>
      </c>
      <c r="K692" s="191">
        <v>0</v>
      </c>
      <c r="L692" s="191">
        <v>0</v>
      </c>
      <c r="M692" s="191">
        <v>0</v>
      </c>
      <c r="N692" s="191">
        <v>0</v>
      </c>
      <c r="O692" s="191">
        <v>0</v>
      </c>
      <c r="P692" s="191">
        <v>0</v>
      </c>
    </row>
    <row r="693" spans="1:16" x14ac:dyDescent="0.25">
      <c r="A693" s="190">
        <v>801010402</v>
      </c>
      <c r="B693" s="190" t="s">
        <v>415</v>
      </c>
      <c r="C693" s="190">
        <v>2992</v>
      </c>
      <c r="D693" s="190" t="s">
        <v>408</v>
      </c>
      <c r="E693" s="191">
        <v>0</v>
      </c>
      <c r="F693" s="191">
        <v>0</v>
      </c>
      <c r="G693" s="191">
        <v>686.78</v>
      </c>
      <c r="H693" s="191">
        <v>0</v>
      </c>
      <c r="I693" s="191">
        <v>0</v>
      </c>
      <c r="J693" s="191">
        <v>0</v>
      </c>
      <c r="K693" s="191">
        <v>0</v>
      </c>
      <c r="L693" s="191">
        <v>0</v>
      </c>
      <c r="M693" s="191">
        <v>0</v>
      </c>
      <c r="N693" s="191">
        <v>0</v>
      </c>
      <c r="O693" s="191">
        <v>0</v>
      </c>
      <c r="P693" s="191">
        <v>0</v>
      </c>
    </row>
    <row r="694" spans="1:16" x14ac:dyDescent="0.25">
      <c r="A694" s="190">
        <v>801010402</v>
      </c>
      <c r="B694" s="190" t="s">
        <v>416</v>
      </c>
      <c r="C694" s="190">
        <v>2992</v>
      </c>
      <c r="D694" s="190" t="s">
        <v>408</v>
      </c>
      <c r="E694" s="191">
        <v>0</v>
      </c>
      <c r="F694" s="191">
        <v>0</v>
      </c>
      <c r="G694" s="191">
        <v>686.78</v>
      </c>
      <c r="H694" s="191">
        <v>0</v>
      </c>
      <c r="I694" s="191">
        <v>0</v>
      </c>
      <c r="J694" s="191">
        <v>0</v>
      </c>
      <c r="K694" s="191">
        <v>0</v>
      </c>
      <c r="L694" s="191">
        <v>0</v>
      </c>
      <c r="M694" s="191">
        <v>0</v>
      </c>
      <c r="N694" s="191">
        <v>0</v>
      </c>
      <c r="O694" s="191">
        <v>0</v>
      </c>
      <c r="P694" s="191">
        <v>0</v>
      </c>
    </row>
    <row r="695" spans="1:16" x14ac:dyDescent="0.25">
      <c r="A695" s="190">
        <v>801010402</v>
      </c>
      <c r="B695" s="190" t="s">
        <v>417</v>
      </c>
      <c r="C695" s="190">
        <v>2992</v>
      </c>
      <c r="D695" s="190" t="s">
        <v>408</v>
      </c>
      <c r="E695" s="191">
        <v>0</v>
      </c>
      <c r="F695" s="191">
        <v>0</v>
      </c>
      <c r="G695" s="191">
        <v>686.78</v>
      </c>
      <c r="H695" s="191">
        <v>0</v>
      </c>
      <c r="I695" s="191">
        <v>0</v>
      </c>
      <c r="J695" s="191">
        <v>0</v>
      </c>
      <c r="K695" s="191">
        <v>0</v>
      </c>
      <c r="L695" s="191">
        <v>0</v>
      </c>
      <c r="M695" s="191">
        <v>0</v>
      </c>
      <c r="N695" s="191">
        <v>0</v>
      </c>
      <c r="O695" s="191">
        <v>0</v>
      </c>
      <c r="P695" s="191">
        <v>0</v>
      </c>
    </row>
    <row r="696" spans="1:16" x14ac:dyDescent="0.25">
      <c r="A696" s="190">
        <v>801010402</v>
      </c>
      <c r="B696" s="190" t="s">
        <v>419</v>
      </c>
      <c r="C696" s="190">
        <v>2992</v>
      </c>
      <c r="D696" s="190" t="s">
        <v>408</v>
      </c>
      <c r="E696" s="191">
        <v>0</v>
      </c>
      <c r="F696" s="191">
        <v>0</v>
      </c>
      <c r="G696" s="191">
        <v>686.78</v>
      </c>
      <c r="H696" s="193">
        <v>2304</v>
      </c>
      <c r="I696" s="191">
        <v>0</v>
      </c>
      <c r="J696" s="191">
        <v>0</v>
      </c>
      <c r="K696" s="191">
        <v>0</v>
      </c>
      <c r="L696" s="191">
        <v>0</v>
      </c>
      <c r="M696" s="191">
        <v>0</v>
      </c>
      <c r="N696" s="191">
        <v>0</v>
      </c>
      <c r="O696" s="191">
        <v>0</v>
      </c>
      <c r="P696" s="191">
        <v>0</v>
      </c>
    </row>
    <row r="697" spans="1:16" x14ac:dyDescent="0.25">
      <c r="A697" s="190">
        <v>801010402</v>
      </c>
      <c r="B697" s="190" t="s">
        <v>420</v>
      </c>
      <c r="C697" s="190">
        <v>2992</v>
      </c>
      <c r="D697" s="190" t="s">
        <v>408</v>
      </c>
      <c r="E697" s="191">
        <v>0</v>
      </c>
      <c r="F697" s="193">
        <v>1390.26</v>
      </c>
      <c r="G697" s="191">
        <v>686.78</v>
      </c>
      <c r="H697" s="191">
        <v>0</v>
      </c>
      <c r="I697" s="191">
        <v>0</v>
      </c>
      <c r="J697" s="191">
        <v>0</v>
      </c>
      <c r="K697" s="191">
        <v>0</v>
      </c>
      <c r="L697" s="191">
        <v>0</v>
      </c>
      <c r="M697" s="191">
        <v>0</v>
      </c>
      <c r="N697" s="191">
        <v>0</v>
      </c>
      <c r="O697" s="191">
        <v>0</v>
      </c>
      <c r="P697" s="191">
        <v>0</v>
      </c>
    </row>
    <row r="698" spans="1:16" x14ac:dyDescent="0.25">
      <c r="A698" s="190">
        <v>801010402</v>
      </c>
      <c r="B698" s="190" t="s">
        <v>421</v>
      </c>
      <c r="C698" s="190">
        <v>2992</v>
      </c>
      <c r="D698" s="190" t="s">
        <v>408</v>
      </c>
      <c r="E698" s="191">
        <v>0</v>
      </c>
      <c r="F698" s="191">
        <v>0</v>
      </c>
      <c r="G698" s="191">
        <v>686.78</v>
      </c>
      <c r="H698" s="191">
        <v>0</v>
      </c>
      <c r="I698" s="191">
        <v>0</v>
      </c>
      <c r="J698" s="191">
        <v>0</v>
      </c>
      <c r="K698" s="191">
        <v>0</v>
      </c>
      <c r="L698" s="191">
        <v>0</v>
      </c>
      <c r="M698" s="191">
        <v>0</v>
      </c>
      <c r="N698" s="191">
        <v>0</v>
      </c>
      <c r="O698" s="191">
        <v>0</v>
      </c>
      <c r="P698" s="191">
        <v>0</v>
      </c>
    </row>
    <row r="699" spans="1:16" x14ac:dyDescent="0.25">
      <c r="A699" s="190">
        <v>801010402</v>
      </c>
      <c r="B699" s="190" t="s">
        <v>422</v>
      </c>
      <c r="C699" s="190">
        <v>2992</v>
      </c>
      <c r="D699" s="190" t="s">
        <v>408</v>
      </c>
      <c r="E699" s="191">
        <v>0</v>
      </c>
      <c r="F699" s="191">
        <v>0</v>
      </c>
      <c r="G699" s="191">
        <v>686.78</v>
      </c>
      <c r="H699" s="191">
        <v>0</v>
      </c>
      <c r="I699" s="191">
        <v>0</v>
      </c>
      <c r="J699" s="191">
        <v>0</v>
      </c>
      <c r="K699" s="191">
        <v>0</v>
      </c>
      <c r="L699" s="191">
        <v>0</v>
      </c>
      <c r="M699" s="191">
        <v>0</v>
      </c>
      <c r="N699" s="191">
        <v>0</v>
      </c>
      <c r="O699" s="191">
        <v>0</v>
      </c>
      <c r="P699" s="191">
        <v>0</v>
      </c>
    </row>
    <row r="700" spans="1:16" x14ac:dyDescent="0.25">
      <c r="A700" s="190">
        <v>801010402</v>
      </c>
      <c r="B700" s="190" t="s">
        <v>423</v>
      </c>
      <c r="C700" s="190">
        <v>2992</v>
      </c>
      <c r="D700" s="190" t="s">
        <v>408</v>
      </c>
      <c r="E700" s="191">
        <v>0</v>
      </c>
      <c r="F700" s="191">
        <v>0</v>
      </c>
      <c r="G700" s="191">
        <v>686.78</v>
      </c>
      <c r="H700" s="191">
        <v>0</v>
      </c>
      <c r="I700" s="191">
        <v>0</v>
      </c>
      <c r="J700" s="191">
        <v>0</v>
      </c>
      <c r="K700" s="191">
        <v>0</v>
      </c>
      <c r="L700" s="191">
        <v>0</v>
      </c>
      <c r="M700" s="191">
        <v>0</v>
      </c>
      <c r="N700" s="191">
        <v>0</v>
      </c>
      <c r="O700" s="191">
        <v>0</v>
      </c>
      <c r="P700" s="191">
        <v>0</v>
      </c>
    </row>
    <row r="701" spans="1:16" x14ac:dyDescent="0.25">
      <c r="A701" s="190">
        <v>801010402</v>
      </c>
      <c r="B701" s="190" t="s">
        <v>424</v>
      </c>
      <c r="C701" s="190">
        <v>2992</v>
      </c>
      <c r="D701" s="190" t="s">
        <v>408</v>
      </c>
      <c r="E701" s="191">
        <v>0</v>
      </c>
      <c r="F701" s="191">
        <v>0</v>
      </c>
      <c r="G701" s="191">
        <v>686.78</v>
      </c>
      <c r="H701" s="191">
        <v>0</v>
      </c>
      <c r="I701" s="191">
        <v>0</v>
      </c>
      <c r="J701" s="191">
        <v>0</v>
      </c>
      <c r="K701" s="191">
        <v>0</v>
      </c>
      <c r="L701" s="191">
        <v>0</v>
      </c>
      <c r="M701" s="191">
        <v>0</v>
      </c>
      <c r="N701" s="191">
        <v>220.4</v>
      </c>
      <c r="O701" s="191">
        <v>0</v>
      </c>
      <c r="P701" s="191">
        <v>0</v>
      </c>
    </row>
    <row r="702" spans="1:16" x14ac:dyDescent="0.25">
      <c r="A702" s="190">
        <v>801010402</v>
      </c>
      <c r="B702" s="190" t="s">
        <v>425</v>
      </c>
      <c r="C702" s="190">
        <v>2992</v>
      </c>
      <c r="D702" s="190" t="s">
        <v>408</v>
      </c>
      <c r="E702" s="191">
        <v>0</v>
      </c>
      <c r="F702" s="191">
        <v>0</v>
      </c>
      <c r="G702" s="191">
        <v>686.78</v>
      </c>
      <c r="H702" s="191">
        <v>0</v>
      </c>
      <c r="I702" s="191">
        <v>0</v>
      </c>
      <c r="J702" s="191">
        <v>0</v>
      </c>
      <c r="K702" s="191">
        <v>0</v>
      </c>
      <c r="L702" s="191">
        <v>0</v>
      </c>
      <c r="M702" s="191">
        <v>0</v>
      </c>
      <c r="N702" s="191">
        <v>0</v>
      </c>
      <c r="O702" s="191">
        <v>0</v>
      </c>
      <c r="P702" s="191">
        <v>0</v>
      </c>
    </row>
    <row r="703" spans="1:16" x14ac:dyDescent="0.25">
      <c r="A703" s="190">
        <v>801010402</v>
      </c>
      <c r="B703" s="190" t="s">
        <v>426</v>
      </c>
      <c r="C703" s="190">
        <v>2992</v>
      </c>
      <c r="D703" s="190" t="s">
        <v>408</v>
      </c>
      <c r="E703" s="191">
        <v>0</v>
      </c>
      <c r="F703" s="191">
        <v>0</v>
      </c>
      <c r="G703" s="191">
        <v>686.78</v>
      </c>
      <c r="H703" s="191">
        <v>0</v>
      </c>
      <c r="I703" s="191">
        <v>0</v>
      </c>
      <c r="J703" s="191">
        <v>0</v>
      </c>
      <c r="K703" s="191">
        <v>0</v>
      </c>
      <c r="L703" s="191">
        <v>0</v>
      </c>
      <c r="M703" s="191">
        <v>0</v>
      </c>
      <c r="N703" s="191">
        <v>0</v>
      </c>
      <c r="O703" s="191">
        <v>0</v>
      </c>
      <c r="P703" s="191">
        <v>0</v>
      </c>
    </row>
    <row r="704" spans="1:16" x14ac:dyDescent="0.25">
      <c r="A704" s="190">
        <v>801010402</v>
      </c>
      <c r="B704" s="190" t="s">
        <v>427</v>
      </c>
      <c r="C704" s="190">
        <v>2992</v>
      </c>
      <c r="D704" s="190" t="s">
        <v>408</v>
      </c>
      <c r="E704" s="191">
        <v>0</v>
      </c>
      <c r="F704" s="191">
        <v>0</v>
      </c>
      <c r="G704" s="191">
        <v>686.78</v>
      </c>
      <c r="H704" s="191">
        <v>0</v>
      </c>
      <c r="I704" s="191">
        <v>0</v>
      </c>
      <c r="J704" s="191">
        <v>0</v>
      </c>
      <c r="K704" s="191">
        <v>0</v>
      </c>
      <c r="L704" s="191">
        <v>0</v>
      </c>
      <c r="M704" s="191">
        <v>0</v>
      </c>
      <c r="N704" s="191">
        <v>0</v>
      </c>
      <c r="O704" s="191">
        <v>0</v>
      </c>
      <c r="P704" s="191">
        <v>0</v>
      </c>
    </row>
    <row r="705" spans="1:16" x14ac:dyDescent="0.25">
      <c r="A705" s="190">
        <v>801010402</v>
      </c>
      <c r="B705" s="190" t="s">
        <v>428</v>
      </c>
      <c r="C705" s="190">
        <v>2992</v>
      </c>
      <c r="D705" s="190" t="s">
        <v>408</v>
      </c>
      <c r="E705" s="191">
        <v>0</v>
      </c>
      <c r="F705" s="191">
        <v>0</v>
      </c>
      <c r="G705" s="191">
        <v>686.78</v>
      </c>
      <c r="H705" s="193">
        <v>45889.599999999999</v>
      </c>
      <c r="I705" s="191">
        <v>0</v>
      </c>
      <c r="J705" s="191">
        <v>0</v>
      </c>
      <c r="K705" s="191">
        <v>0</v>
      </c>
      <c r="L705" s="191">
        <v>0</v>
      </c>
      <c r="M705" s="191">
        <v>0</v>
      </c>
      <c r="N705" s="191">
        <v>0</v>
      </c>
      <c r="O705" s="191">
        <v>0</v>
      </c>
      <c r="P705" s="191">
        <v>0</v>
      </c>
    </row>
    <row r="706" spans="1:16" x14ac:dyDescent="0.25">
      <c r="A706" s="190">
        <v>801010402</v>
      </c>
      <c r="B706" s="190" t="s">
        <v>429</v>
      </c>
      <c r="C706" s="190">
        <v>2992</v>
      </c>
      <c r="D706" s="190" t="s">
        <v>408</v>
      </c>
      <c r="E706" s="191">
        <v>0</v>
      </c>
      <c r="F706" s="191">
        <v>0</v>
      </c>
      <c r="G706" s="191">
        <v>686.78</v>
      </c>
      <c r="H706" s="191">
        <v>0</v>
      </c>
      <c r="I706" s="191">
        <v>0</v>
      </c>
      <c r="J706" s="193">
        <v>1800.32</v>
      </c>
      <c r="K706" s="191">
        <v>0</v>
      </c>
      <c r="L706" s="191">
        <v>0</v>
      </c>
      <c r="M706" s="191">
        <v>0</v>
      </c>
      <c r="N706" s="191">
        <v>0</v>
      </c>
      <c r="O706" s="191">
        <v>0</v>
      </c>
      <c r="P706" s="191">
        <v>0</v>
      </c>
    </row>
    <row r="707" spans="1:16" x14ac:dyDescent="0.25">
      <c r="A707" s="190">
        <v>801010402</v>
      </c>
      <c r="B707" s="190" t="s">
        <v>430</v>
      </c>
      <c r="C707" s="190">
        <v>2992</v>
      </c>
      <c r="D707" s="190" t="s">
        <v>408</v>
      </c>
      <c r="E707" s="191">
        <v>0</v>
      </c>
      <c r="F707" s="191">
        <v>0</v>
      </c>
      <c r="G707" s="191">
        <v>686.78</v>
      </c>
      <c r="H707" s="191">
        <v>0</v>
      </c>
      <c r="I707" s="191">
        <v>0</v>
      </c>
      <c r="J707" s="191">
        <v>0</v>
      </c>
      <c r="K707" s="191">
        <v>0</v>
      </c>
      <c r="L707" s="191">
        <v>0</v>
      </c>
      <c r="M707" s="191">
        <v>0</v>
      </c>
      <c r="N707" s="191">
        <v>0</v>
      </c>
      <c r="O707" s="191">
        <v>0</v>
      </c>
      <c r="P707" s="191">
        <v>0</v>
      </c>
    </row>
    <row r="708" spans="1:16" x14ac:dyDescent="0.25">
      <c r="A708" s="190">
        <v>801010402</v>
      </c>
      <c r="B708" s="190" t="s">
        <v>431</v>
      </c>
      <c r="C708" s="190">
        <v>2992</v>
      </c>
      <c r="D708" s="190" t="s">
        <v>408</v>
      </c>
      <c r="E708" s="191">
        <v>0</v>
      </c>
      <c r="F708" s="191">
        <v>0</v>
      </c>
      <c r="G708" s="191">
        <v>686.78</v>
      </c>
      <c r="H708" s="191">
        <v>0</v>
      </c>
      <c r="I708" s="191">
        <v>0</v>
      </c>
      <c r="J708" s="191">
        <v>0</v>
      </c>
      <c r="K708" s="191">
        <v>0</v>
      </c>
      <c r="L708" s="191">
        <v>0</v>
      </c>
      <c r="M708" s="191">
        <v>0</v>
      </c>
      <c r="N708" s="191">
        <v>0</v>
      </c>
      <c r="O708" s="191">
        <v>0</v>
      </c>
      <c r="P708" s="191">
        <v>0</v>
      </c>
    </row>
    <row r="709" spans="1:16" x14ac:dyDescent="0.25">
      <c r="A709" s="190">
        <v>801010402</v>
      </c>
      <c r="B709" s="190" t="s">
        <v>432</v>
      </c>
      <c r="C709" s="190">
        <v>2992</v>
      </c>
      <c r="D709" s="190" t="s">
        <v>408</v>
      </c>
      <c r="E709" s="191">
        <v>0</v>
      </c>
      <c r="F709" s="191">
        <v>0</v>
      </c>
      <c r="G709" s="191">
        <v>686.78</v>
      </c>
      <c r="H709" s="191">
        <v>0</v>
      </c>
      <c r="I709" s="191">
        <v>0</v>
      </c>
      <c r="J709" s="193">
        <v>2511.85</v>
      </c>
      <c r="K709" s="191">
        <v>0</v>
      </c>
      <c r="L709" s="191">
        <v>0</v>
      </c>
      <c r="M709" s="191">
        <v>0</v>
      </c>
      <c r="N709" s="191">
        <v>0</v>
      </c>
      <c r="O709" s="191">
        <v>0</v>
      </c>
      <c r="P709" s="191">
        <v>0</v>
      </c>
    </row>
    <row r="710" spans="1:16" x14ac:dyDescent="0.25">
      <c r="A710" s="190">
        <v>801010402</v>
      </c>
      <c r="B710" s="190" t="s">
        <v>433</v>
      </c>
      <c r="C710" s="190">
        <v>2992</v>
      </c>
      <c r="D710" s="190" t="s">
        <v>408</v>
      </c>
      <c r="E710" s="191">
        <v>0</v>
      </c>
      <c r="F710" s="191">
        <v>0</v>
      </c>
      <c r="G710" s="191">
        <v>686.78</v>
      </c>
      <c r="H710" s="191">
        <v>0</v>
      </c>
      <c r="I710" s="191">
        <v>0</v>
      </c>
      <c r="J710" s="191">
        <v>0</v>
      </c>
      <c r="K710" s="191">
        <v>0</v>
      </c>
      <c r="L710" s="191">
        <v>0</v>
      </c>
      <c r="M710" s="191">
        <v>0</v>
      </c>
      <c r="N710" s="191">
        <v>0</v>
      </c>
      <c r="O710" s="191">
        <v>0</v>
      </c>
      <c r="P710" s="191">
        <v>0</v>
      </c>
    </row>
    <row r="711" spans="1:16" x14ac:dyDescent="0.25">
      <c r="A711" s="190">
        <v>801010402</v>
      </c>
      <c r="B711" s="190" t="s">
        <v>434</v>
      </c>
      <c r="C711" s="190">
        <v>2992</v>
      </c>
      <c r="D711" s="190" t="s">
        <v>408</v>
      </c>
      <c r="E711" s="191">
        <v>0</v>
      </c>
      <c r="F711" s="191">
        <v>0</v>
      </c>
      <c r="G711" s="191">
        <v>686.78</v>
      </c>
      <c r="H711" s="191">
        <v>0</v>
      </c>
      <c r="I711" s="191">
        <v>0</v>
      </c>
      <c r="J711" s="191">
        <v>0</v>
      </c>
      <c r="K711" s="191">
        <v>0</v>
      </c>
      <c r="L711" s="191">
        <v>0</v>
      </c>
      <c r="M711" s="191">
        <v>0</v>
      </c>
      <c r="N711" s="191">
        <v>0</v>
      </c>
      <c r="O711" s="191">
        <v>0</v>
      </c>
      <c r="P711" s="191">
        <v>0</v>
      </c>
    </row>
    <row r="712" spans="1:16" x14ac:dyDescent="0.25">
      <c r="A712" s="190">
        <v>801010402</v>
      </c>
      <c r="B712" s="190" t="s">
        <v>435</v>
      </c>
      <c r="C712" s="190">
        <v>2992</v>
      </c>
      <c r="D712" s="190" t="s">
        <v>408</v>
      </c>
      <c r="E712" s="191">
        <v>0</v>
      </c>
      <c r="F712" s="191">
        <v>0</v>
      </c>
      <c r="G712" s="191">
        <v>686.78</v>
      </c>
      <c r="H712" s="191">
        <v>0</v>
      </c>
      <c r="I712" s="191">
        <v>0</v>
      </c>
      <c r="J712" s="191">
        <v>0</v>
      </c>
      <c r="K712" s="191">
        <v>0</v>
      </c>
      <c r="L712" s="191">
        <v>0</v>
      </c>
      <c r="M712" s="191">
        <v>0</v>
      </c>
      <c r="N712" s="191">
        <v>0</v>
      </c>
      <c r="O712" s="191">
        <v>0</v>
      </c>
      <c r="P712" s="191">
        <v>0</v>
      </c>
    </row>
    <row r="713" spans="1:16" x14ac:dyDescent="0.25">
      <c r="A713" s="190">
        <v>801010402</v>
      </c>
      <c r="B713" s="190" t="s">
        <v>436</v>
      </c>
      <c r="C713" s="190">
        <v>2992</v>
      </c>
      <c r="D713" s="190" t="s">
        <v>408</v>
      </c>
      <c r="E713" s="191">
        <v>0</v>
      </c>
      <c r="F713" s="191">
        <v>0</v>
      </c>
      <c r="G713" s="191">
        <v>686.78</v>
      </c>
      <c r="H713" s="191">
        <v>0</v>
      </c>
      <c r="I713" s="191">
        <v>0</v>
      </c>
      <c r="J713" s="191">
        <v>0</v>
      </c>
      <c r="K713" s="191">
        <v>0</v>
      </c>
      <c r="L713" s="191">
        <v>0</v>
      </c>
      <c r="M713" s="191">
        <v>0</v>
      </c>
      <c r="N713" s="191">
        <v>0</v>
      </c>
      <c r="O713" s="191">
        <v>0</v>
      </c>
      <c r="P713" s="191">
        <v>0</v>
      </c>
    </row>
    <row r="714" spans="1:16" x14ac:dyDescent="0.25">
      <c r="A714" s="190">
        <v>801010402</v>
      </c>
      <c r="B714" s="190" t="s">
        <v>437</v>
      </c>
      <c r="C714" s="190">
        <v>2992</v>
      </c>
      <c r="D714" s="190" t="s">
        <v>408</v>
      </c>
      <c r="E714" s="191">
        <v>0</v>
      </c>
      <c r="F714" s="191">
        <v>0</v>
      </c>
      <c r="G714" s="191">
        <v>686.78</v>
      </c>
      <c r="H714" s="191">
        <v>868</v>
      </c>
      <c r="I714" s="191">
        <v>0</v>
      </c>
      <c r="J714" s="191">
        <v>0</v>
      </c>
      <c r="K714" s="191">
        <v>0</v>
      </c>
      <c r="L714" s="191">
        <v>0</v>
      </c>
      <c r="M714" s="191">
        <v>0</v>
      </c>
      <c r="N714" s="191">
        <v>0</v>
      </c>
      <c r="O714" s="191">
        <v>0</v>
      </c>
      <c r="P714" s="191">
        <v>0</v>
      </c>
    </row>
    <row r="715" spans="1:16" x14ac:dyDescent="0.25">
      <c r="A715" s="190">
        <v>801010402</v>
      </c>
      <c r="B715" s="190" t="s">
        <v>407</v>
      </c>
      <c r="C715" s="190">
        <v>3111</v>
      </c>
      <c r="D715" s="190" t="s">
        <v>409</v>
      </c>
      <c r="E715" s="191">
        <v>0</v>
      </c>
      <c r="F715" s="191">
        <v>0</v>
      </c>
      <c r="G715" s="191">
        <v>0</v>
      </c>
      <c r="H715" s="191">
        <v>0</v>
      </c>
      <c r="I715" s="191">
        <v>0</v>
      </c>
      <c r="J715" s="191">
        <v>0</v>
      </c>
      <c r="K715" s="191">
        <v>0</v>
      </c>
      <c r="L715" s="193">
        <v>15239</v>
      </c>
      <c r="M715" s="191">
        <v>0</v>
      </c>
      <c r="N715" s="191">
        <v>0</v>
      </c>
      <c r="O715" s="191">
        <v>0</v>
      </c>
      <c r="P715" s="191">
        <v>0</v>
      </c>
    </row>
    <row r="716" spans="1:16" x14ac:dyDescent="0.25">
      <c r="A716" s="190">
        <v>801010402</v>
      </c>
      <c r="B716" s="190" t="s">
        <v>407</v>
      </c>
      <c r="C716" s="190">
        <v>3111</v>
      </c>
      <c r="D716" s="190" t="s">
        <v>408</v>
      </c>
      <c r="E716" s="191">
        <v>0</v>
      </c>
      <c r="F716" s="193">
        <v>37067</v>
      </c>
      <c r="G716" s="193">
        <v>20280</v>
      </c>
      <c r="H716" s="193">
        <v>37269</v>
      </c>
      <c r="I716" s="193">
        <v>13707</v>
      </c>
      <c r="J716" s="193">
        <v>15192</v>
      </c>
      <c r="K716" s="193">
        <v>15870</v>
      </c>
      <c r="L716" s="191">
        <v>0</v>
      </c>
      <c r="M716" s="191">
        <v>0</v>
      </c>
      <c r="N716" s="193">
        <v>15425</v>
      </c>
      <c r="O716" s="193">
        <v>16507</v>
      </c>
      <c r="P716" s="193">
        <v>18370</v>
      </c>
    </row>
    <row r="717" spans="1:16" x14ac:dyDescent="0.25">
      <c r="A717" s="190">
        <v>801010402</v>
      </c>
      <c r="B717" s="190" t="s">
        <v>410</v>
      </c>
      <c r="C717" s="190">
        <v>3111</v>
      </c>
      <c r="D717" s="190" t="s">
        <v>408</v>
      </c>
      <c r="E717" s="191">
        <v>0</v>
      </c>
      <c r="F717" s="191">
        <v>0</v>
      </c>
      <c r="G717" s="193">
        <v>3747</v>
      </c>
      <c r="H717" s="191">
        <v>0</v>
      </c>
      <c r="I717" s="193">
        <v>1855</v>
      </c>
      <c r="J717" s="193">
        <v>1894</v>
      </c>
      <c r="K717" s="193">
        <v>2057</v>
      </c>
      <c r="L717" s="191">
        <v>0</v>
      </c>
      <c r="M717" s="193">
        <v>3802</v>
      </c>
      <c r="N717" s="193">
        <v>2050</v>
      </c>
      <c r="O717" s="193">
        <v>1888</v>
      </c>
      <c r="P717" s="193">
        <v>10787</v>
      </c>
    </row>
    <row r="718" spans="1:16" x14ac:dyDescent="0.25">
      <c r="A718" s="190">
        <v>801010402</v>
      </c>
      <c r="B718" s="190" t="s">
        <v>411</v>
      </c>
      <c r="C718" s="190">
        <v>3111</v>
      </c>
      <c r="D718" s="190" t="s">
        <v>408</v>
      </c>
      <c r="E718" s="191">
        <v>0</v>
      </c>
      <c r="F718" s="191">
        <v>0</v>
      </c>
      <c r="G718" s="193">
        <v>75254</v>
      </c>
      <c r="H718" s="191">
        <v>0</v>
      </c>
      <c r="I718" s="191">
        <v>0</v>
      </c>
      <c r="J718" s="191">
        <v>0</v>
      </c>
      <c r="K718" s="193">
        <v>23936</v>
      </c>
      <c r="L718" s="193">
        <v>2373</v>
      </c>
      <c r="M718" s="193">
        <v>5825</v>
      </c>
      <c r="N718" s="193">
        <v>6780</v>
      </c>
      <c r="O718" s="193">
        <v>9197</v>
      </c>
      <c r="P718" s="193">
        <v>6050</v>
      </c>
    </row>
    <row r="719" spans="1:16" x14ac:dyDescent="0.25">
      <c r="A719" s="190">
        <v>801010402</v>
      </c>
      <c r="B719" s="190" t="s">
        <v>412</v>
      </c>
      <c r="C719" s="190">
        <v>3111</v>
      </c>
      <c r="D719" s="190" t="s">
        <v>409</v>
      </c>
      <c r="E719" s="191">
        <v>0</v>
      </c>
      <c r="F719" s="191">
        <v>0</v>
      </c>
      <c r="G719" s="191">
        <v>0</v>
      </c>
      <c r="H719" s="191">
        <v>0</v>
      </c>
      <c r="I719" s="191">
        <v>0</v>
      </c>
      <c r="J719" s="191">
        <v>0</v>
      </c>
      <c r="K719" s="191">
        <v>0</v>
      </c>
      <c r="L719" s="193">
        <v>5976</v>
      </c>
      <c r="M719" s="191">
        <v>0</v>
      </c>
      <c r="N719" s="191">
        <v>0</v>
      </c>
      <c r="O719" s="191">
        <v>0</v>
      </c>
      <c r="P719" s="191">
        <v>0</v>
      </c>
    </row>
    <row r="720" spans="1:16" x14ac:dyDescent="0.25">
      <c r="A720" s="190">
        <v>801010402</v>
      </c>
      <c r="B720" s="190" t="s">
        <v>412</v>
      </c>
      <c r="C720" s="190">
        <v>3111</v>
      </c>
      <c r="D720" s="190" t="s">
        <v>408</v>
      </c>
      <c r="E720" s="193">
        <v>12508</v>
      </c>
      <c r="F720" s="193">
        <v>6121</v>
      </c>
      <c r="G720" s="193">
        <v>6362</v>
      </c>
      <c r="H720" s="193">
        <v>8642</v>
      </c>
      <c r="I720" s="193">
        <v>7468</v>
      </c>
      <c r="J720" s="193">
        <v>7671</v>
      </c>
      <c r="K720" s="193">
        <v>7989</v>
      </c>
      <c r="L720" s="191">
        <v>0</v>
      </c>
      <c r="M720" s="193">
        <v>8107</v>
      </c>
      <c r="N720" s="193">
        <v>6392</v>
      </c>
      <c r="O720" s="193">
        <v>6994</v>
      </c>
      <c r="P720" s="193">
        <v>5698</v>
      </c>
    </row>
    <row r="721" spans="1:16" x14ac:dyDescent="0.25">
      <c r="A721" s="190">
        <v>801010402</v>
      </c>
      <c r="B721" s="190" t="s">
        <v>413</v>
      </c>
      <c r="C721" s="190">
        <v>3111</v>
      </c>
      <c r="D721" s="190" t="s">
        <v>409</v>
      </c>
      <c r="E721" s="191">
        <v>0</v>
      </c>
      <c r="F721" s="191">
        <v>0</v>
      </c>
      <c r="G721" s="191">
        <v>0</v>
      </c>
      <c r="H721" s="191">
        <v>0</v>
      </c>
      <c r="I721" s="191">
        <v>0</v>
      </c>
      <c r="J721" s="191">
        <v>0</v>
      </c>
      <c r="K721" s="191">
        <v>0</v>
      </c>
      <c r="L721" s="193">
        <v>8067</v>
      </c>
      <c r="M721" s="191">
        <v>0</v>
      </c>
      <c r="N721" s="191">
        <v>0</v>
      </c>
      <c r="O721" s="191">
        <v>0</v>
      </c>
      <c r="P721" s="191">
        <v>0</v>
      </c>
    </row>
    <row r="722" spans="1:16" x14ac:dyDescent="0.25">
      <c r="A722" s="190">
        <v>801010402</v>
      </c>
      <c r="B722" s="190" t="s">
        <v>413</v>
      </c>
      <c r="C722" s="190">
        <v>3111</v>
      </c>
      <c r="D722" s="190" t="s">
        <v>408</v>
      </c>
      <c r="E722" s="193">
        <v>8246</v>
      </c>
      <c r="F722" s="193">
        <v>8689</v>
      </c>
      <c r="G722" s="193">
        <v>8237</v>
      </c>
      <c r="H722" s="193">
        <v>8285</v>
      </c>
      <c r="I722" s="193">
        <v>8401</v>
      </c>
      <c r="J722" s="193">
        <v>8271</v>
      </c>
      <c r="K722" s="193">
        <v>8518</v>
      </c>
      <c r="L722" s="191">
        <v>0</v>
      </c>
      <c r="M722" s="193">
        <v>8338</v>
      </c>
      <c r="N722" s="193">
        <v>9896</v>
      </c>
      <c r="O722" s="193">
        <v>13954</v>
      </c>
      <c r="P722" s="193">
        <v>9676</v>
      </c>
    </row>
    <row r="723" spans="1:16" x14ac:dyDescent="0.25">
      <c r="A723" s="190">
        <v>801010402</v>
      </c>
      <c r="B723" s="190" t="s">
        <v>414</v>
      </c>
      <c r="C723" s="190">
        <v>3111</v>
      </c>
      <c r="D723" s="190" t="s">
        <v>408</v>
      </c>
      <c r="E723" s="193">
        <v>1517</v>
      </c>
      <c r="F723" s="191">
        <v>0</v>
      </c>
      <c r="G723" s="193">
        <v>48997</v>
      </c>
      <c r="H723" s="193">
        <v>11787</v>
      </c>
      <c r="I723" s="193">
        <v>12155</v>
      </c>
      <c r="J723" s="193">
        <v>14353</v>
      </c>
      <c r="K723" s="191">
        <v>0</v>
      </c>
      <c r="L723" s="193">
        <v>29560</v>
      </c>
      <c r="M723" s="193">
        <v>17091</v>
      </c>
      <c r="N723" s="193">
        <v>17127</v>
      </c>
      <c r="O723" s="193">
        <v>18315</v>
      </c>
      <c r="P723" s="191">
        <v>0</v>
      </c>
    </row>
    <row r="724" spans="1:16" x14ac:dyDescent="0.25">
      <c r="A724" s="190">
        <v>801010402</v>
      </c>
      <c r="B724" s="190" t="s">
        <v>415</v>
      </c>
      <c r="C724" s="190">
        <v>3111</v>
      </c>
      <c r="D724" s="190" t="s">
        <v>409</v>
      </c>
      <c r="E724" s="191">
        <v>0</v>
      </c>
      <c r="F724" s="191">
        <v>0</v>
      </c>
      <c r="G724" s="191">
        <v>0</v>
      </c>
      <c r="H724" s="191">
        <v>0</v>
      </c>
      <c r="I724" s="191">
        <v>0</v>
      </c>
      <c r="J724" s="191">
        <v>0</v>
      </c>
      <c r="K724" s="191">
        <v>0</v>
      </c>
      <c r="L724" s="193">
        <v>8222</v>
      </c>
      <c r="M724" s="191">
        <v>0</v>
      </c>
      <c r="N724" s="191">
        <v>0</v>
      </c>
      <c r="O724" s="191">
        <v>0</v>
      </c>
      <c r="P724" s="191">
        <v>0</v>
      </c>
    </row>
    <row r="725" spans="1:16" x14ac:dyDescent="0.25">
      <c r="A725" s="190">
        <v>801010402</v>
      </c>
      <c r="B725" s="190" t="s">
        <v>415</v>
      </c>
      <c r="C725" s="190">
        <v>3111</v>
      </c>
      <c r="D725" s="190" t="s">
        <v>408</v>
      </c>
      <c r="E725" s="193">
        <v>9778</v>
      </c>
      <c r="F725" s="193">
        <v>9669</v>
      </c>
      <c r="G725" s="193">
        <v>19406</v>
      </c>
      <c r="H725" s="193">
        <v>7662</v>
      </c>
      <c r="I725" s="193">
        <v>9010</v>
      </c>
      <c r="J725" s="193">
        <v>7729</v>
      </c>
      <c r="K725" s="193">
        <v>7194</v>
      </c>
      <c r="L725" s="191">
        <v>0</v>
      </c>
      <c r="M725" s="193">
        <v>15672.5</v>
      </c>
      <c r="N725" s="193">
        <v>7970</v>
      </c>
      <c r="O725" s="193">
        <v>7826</v>
      </c>
      <c r="P725" s="193">
        <v>2196</v>
      </c>
    </row>
    <row r="726" spans="1:16" x14ac:dyDescent="0.25">
      <c r="A726" s="190">
        <v>801010402</v>
      </c>
      <c r="B726" s="190" t="s">
        <v>416</v>
      </c>
      <c r="C726" s="190">
        <v>3111</v>
      </c>
      <c r="D726" s="190" t="s">
        <v>409</v>
      </c>
      <c r="E726" s="191">
        <v>0</v>
      </c>
      <c r="F726" s="191">
        <v>0</v>
      </c>
      <c r="G726" s="191">
        <v>0</v>
      </c>
      <c r="H726" s="191">
        <v>0</v>
      </c>
      <c r="I726" s="191">
        <v>0</v>
      </c>
      <c r="J726" s="191">
        <v>0</v>
      </c>
      <c r="K726" s="191">
        <v>0</v>
      </c>
      <c r="L726" s="193">
        <v>5643</v>
      </c>
      <c r="M726" s="191">
        <v>0</v>
      </c>
      <c r="N726" s="191">
        <v>0</v>
      </c>
      <c r="O726" s="191">
        <v>0</v>
      </c>
      <c r="P726" s="191">
        <v>0</v>
      </c>
    </row>
    <row r="727" spans="1:16" x14ac:dyDescent="0.25">
      <c r="A727" s="190">
        <v>801010402</v>
      </c>
      <c r="B727" s="190" t="s">
        <v>416</v>
      </c>
      <c r="C727" s="190">
        <v>3111</v>
      </c>
      <c r="D727" s="190" t="s">
        <v>408</v>
      </c>
      <c r="E727" s="193">
        <v>6512</v>
      </c>
      <c r="F727" s="193">
        <v>5448</v>
      </c>
      <c r="G727" s="193">
        <v>5486</v>
      </c>
      <c r="H727" s="193">
        <v>6949</v>
      </c>
      <c r="I727" s="193">
        <v>6270</v>
      </c>
      <c r="J727" s="193">
        <v>6582</v>
      </c>
      <c r="K727" s="193">
        <v>10556</v>
      </c>
      <c r="L727" s="191">
        <v>0</v>
      </c>
      <c r="M727" s="193">
        <v>4057</v>
      </c>
      <c r="N727" s="193">
        <v>8163</v>
      </c>
      <c r="O727" s="193">
        <v>8965</v>
      </c>
      <c r="P727" s="193">
        <v>11100</v>
      </c>
    </row>
    <row r="728" spans="1:16" x14ac:dyDescent="0.25">
      <c r="A728" s="190">
        <v>801010402</v>
      </c>
      <c r="B728" s="190" t="s">
        <v>417</v>
      </c>
      <c r="C728" s="190">
        <v>3111</v>
      </c>
      <c r="D728" s="190" t="s">
        <v>408</v>
      </c>
      <c r="E728" s="193">
        <v>7309</v>
      </c>
      <c r="F728" s="193">
        <v>12776</v>
      </c>
      <c r="G728" s="193">
        <v>7646</v>
      </c>
      <c r="H728" s="193">
        <v>16276</v>
      </c>
      <c r="I728" s="193">
        <v>8773</v>
      </c>
      <c r="J728" s="193">
        <v>9093</v>
      </c>
      <c r="K728" s="193">
        <v>8595</v>
      </c>
      <c r="L728" s="193">
        <v>9257</v>
      </c>
      <c r="M728" s="193">
        <v>8565</v>
      </c>
      <c r="N728" s="193">
        <v>10095</v>
      </c>
      <c r="O728" s="193">
        <v>8491</v>
      </c>
      <c r="P728" s="193">
        <v>10095</v>
      </c>
    </row>
    <row r="729" spans="1:16" x14ac:dyDescent="0.25">
      <c r="A729" s="190">
        <v>801010402</v>
      </c>
      <c r="B729" s="190" t="s">
        <v>419</v>
      </c>
      <c r="C729" s="190">
        <v>3111</v>
      </c>
      <c r="D729" s="190" t="s">
        <v>408</v>
      </c>
      <c r="E729" s="191">
        <v>0</v>
      </c>
      <c r="F729" s="191">
        <v>0</v>
      </c>
      <c r="G729" s="191">
        <v>0</v>
      </c>
      <c r="H729" s="191">
        <v>0</v>
      </c>
      <c r="I729" s="191">
        <v>0</v>
      </c>
      <c r="J729" s="193">
        <v>24740.25</v>
      </c>
      <c r="K729" s="191">
        <v>0</v>
      </c>
      <c r="L729" s="193">
        <v>6095</v>
      </c>
      <c r="M729" s="191">
        <v>0</v>
      </c>
      <c r="N729" s="193">
        <v>12950</v>
      </c>
      <c r="O729" s="193">
        <v>8015</v>
      </c>
      <c r="P729" s="191">
        <v>0</v>
      </c>
    </row>
    <row r="730" spans="1:16" x14ac:dyDescent="0.25">
      <c r="A730" s="190">
        <v>801010402</v>
      </c>
      <c r="B730" s="190" t="s">
        <v>421</v>
      </c>
      <c r="C730" s="190">
        <v>3111</v>
      </c>
      <c r="D730" s="190" t="s">
        <v>409</v>
      </c>
      <c r="E730" s="191">
        <v>0</v>
      </c>
      <c r="F730" s="191">
        <v>0</v>
      </c>
      <c r="G730" s="191">
        <v>0</v>
      </c>
      <c r="H730" s="191">
        <v>0</v>
      </c>
      <c r="I730" s="191">
        <v>0</v>
      </c>
      <c r="J730" s="191">
        <v>0</v>
      </c>
      <c r="K730" s="191">
        <v>0</v>
      </c>
      <c r="L730" s="193">
        <v>1884</v>
      </c>
      <c r="M730" s="191">
        <v>0</v>
      </c>
      <c r="N730" s="191">
        <v>0</v>
      </c>
      <c r="O730" s="191">
        <v>0</v>
      </c>
      <c r="P730" s="191">
        <v>0</v>
      </c>
    </row>
    <row r="731" spans="1:16" x14ac:dyDescent="0.25">
      <c r="A731" s="190">
        <v>801010402</v>
      </c>
      <c r="B731" s="190" t="s">
        <v>421</v>
      </c>
      <c r="C731" s="190">
        <v>3111</v>
      </c>
      <c r="D731" s="190" t="s">
        <v>408</v>
      </c>
      <c r="E731" s="193">
        <v>14053</v>
      </c>
      <c r="F731" s="193">
        <v>7300</v>
      </c>
      <c r="G731" s="193">
        <v>5848</v>
      </c>
      <c r="H731" s="193">
        <v>6168</v>
      </c>
      <c r="I731" s="191">
        <v>0</v>
      </c>
      <c r="J731" s="193">
        <v>10482</v>
      </c>
      <c r="K731" s="193">
        <v>5506</v>
      </c>
      <c r="L731" s="191">
        <v>0</v>
      </c>
      <c r="M731" s="193">
        <v>1851</v>
      </c>
      <c r="N731" s="193">
        <v>6473</v>
      </c>
      <c r="O731" s="193">
        <v>7365</v>
      </c>
      <c r="P731" s="193">
        <v>7634</v>
      </c>
    </row>
    <row r="732" spans="1:16" x14ac:dyDescent="0.25">
      <c r="A732" s="190">
        <v>801010402</v>
      </c>
      <c r="B732" s="190" t="s">
        <v>423</v>
      </c>
      <c r="C732" s="190">
        <v>3111</v>
      </c>
      <c r="D732" s="190" t="s">
        <v>408</v>
      </c>
      <c r="E732" s="193">
        <v>3994</v>
      </c>
      <c r="F732" s="193">
        <v>4079</v>
      </c>
      <c r="G732" s="193">
        <v>2206</v>
      </c>
      <c r="H732" s="193">
        <v>4947</v>
      </c>
      <c r="I732" s="193">
        <v>4023</v>
      </c>
      <c r="J732" s="193">
        <v>5583</v>
      </c>
      <c r="K732" s="193">
        <v>8592</v>
      </c>
      <c r="L732" s="193">
        <v>5413</v>
      </c>
      <c r="M732" s="193">
        <v>4334</v>
      </c>
      <c r="N732" s="193">
        <v>6036</v>
      </c>
      <c r="O732" s="193">
        <v>5020</v>
      </c>
      <c r="P732" s="193">
        <v>4965</v>
      </c>
    </row>
    <row r="733" spans="1:16" x14ac:dyDescent="0.25">
      <c r="A733" s="190">
        <v>801010402</v>
      </c>
      <c r="B733" s="190" t="s">
        <v>424</v>
      </c>
      <c r="C733" s="190">
        <v>3111</v>
      </c>
      <c r="D733" s="190" t="s">
        <v>408</v>
      </c>
      <c r="E733" s="191">
        <v>0</v>
      </c>
      <c r="F733" s="193">
        <v>15733</v>
      </c>
      <c r="G733" s="193">
        <v>5572</v>
      </c>
      <c r="H733" s="193">
        <v>42299</v>
      </c>
      <c r="I733" s="193">
        <v>7008</v>
      </c>
      <c r="J733" s="193">
        <v>7066</v>
      </c>
      <c r="K733" s="193">
        <v>7495</v>
      </c>
      <c r="L733" s="193">
        <v>5747</v>
      </c>
      <c r="M733" s="193">
        <v>4656</v>
      </c>
      <c r="N733" s="193">
        <v>7052</v>
      </c>
      <c r="O733" s="193">
        <v>8385</v>
      </c>
      <c r="P733" s="193">
        <v>9868</v>
      </c>
    </row>
    <row r="734" spans="1:16" x14ac:dyDescent="0.25">
      <c r="A734" s="190">
        <v>801010402</v>
      </c>
      <c r="B734" s="190" t="s">
        <v>426</v>
      </c>
      <c r="C734" s="190">
        <v>3111</v>
      </c>
      <c r="D734" s="190" t="s">
        <v>408</v>
      </c>
      <c r="E734" s="191">
        <v>0</v>
      </c>
      <c r="F734" s="191">
        <v>0</v>
      </c>
      <c r="G734" s="193">
        <v>41162</v>
      </c>
      <c r="H734" s="193">
        <v>30285</v>
      </c>
      <c r="I734" s="193">
        <v>38348</v>
      </c>
      <c r="J734" s="193">
        <v>13954</v>
      </c>
      <c r="K734" s="191">
        <v>0</v>
      </c>
      <c r="L734" s="193">
        <v>208290</v>
      </c>
      <c r="M734" s="193">
        <v>20952</v>
      </c>
      <c r="N734" s="193">
        <v>12159</v>
      </c>
      <c r="O734" s="193">
        <v>11017</v>
      </c>
      <c r="P734" s="193">
        <v>11361</v>
      </c>
    </row>
    <row r="735" spans="1:16" x14ac:dyDescent="0.25">
      <c r="A735" s="190">
        <v>801010402</v>
      </c>
      <c r="B735" s="190" t="s">
        <v>427</v>
      </c>
      <c r="C735" s="190">
        <v>3111</v>
      </c>
      <c r="D735" s="190" t="s">
        <v>408</v>
      </c>
      <c r="E735" s="191">
        <v>0</v>
      </c>
      <c r="F735" s="191">
        <v>0</v>
      </c>
      <c r="G735" s="193">
        <v>32634</v>
      </c>
      <c r="H735" s="193">
        <v>5848</v>
      </c>
      <c r="I735" s="193">
        <v>7343</v>
      </c>
      <c r="J735" s="193">
        <v>6056</v>
      </c>
      <c r="K735" s="193">
        <v>7223</v>
      </c>
      <c r="L735" s="193">
        <v>6504</v>
      </c>
      <c r="M735" s="193">
        <v>5166</v>
      </c>
      <c r="N735" s="193">
        <v>8053</v>
      </c>
      <c r="O735" s="193">
        <v>8244</v>
      </c>
      <c r="P735" s="193">
        <v>5763</v>
      </c>
    </row>
    <row r="736" spans="1:16" x14ac:dyDescent="0.25">
      <c r="A736" s="190">
        <v>801010402</v>
      </c>
      <c r="B736" s="190" t="s">
        <v>428</v>
      </c>
      <c r="C736" s="190">
        <v>3111</v>
      </c>
      <c r="D736" s="190" t="s">
        <v>408</v>
      </c>
      <c r="E736" s="193">
        <v>4358</v>
      </c>
      <c r="F736" s="193">
        <v>8091</v>
      </c>
      <c r="G736" s="193">
        <v>7662</v>
      </c>
      <c r="H736" s="191">
        <v>0</v>
      </c>
      <c r="I736" s="191">
        <v>0</v>
      </c>
      <c r="J736" s="193">
        <v>8910</v>
      </c>
      <c r="K736" s="191">
        <v>0</v>
      </c>
      <c r="L736" s="193">
        <v>10725</v>
      </c>
      <c r="M736" s="193">
        <v>10012</v>
      </c>
      <c r="N736" s="193">
        <v>6501</v>
      </c>
      <c r="O736" s="193">
        <v>5998</v>
      </c>
      <c r="P736" s="193">
        <v>5732</v>
      </c>
    </row>
    <row r="737" spans="1:16" x14ac:dyDescent="0.25">
      <c r="A737" s="190">
        <v>801010402</v>
      </c>
      <c r="B737" s="190" t="s">
        <v>429</v>
      </c>
      <c r="C737" s="190">
        <v>3111</v>
      </c>
      <c r="D737" s="190" t="s">
        <v>408</v>
      </c>
      <c r="E737" s="191">
        <v>0</v>
      </c>
      <c r="F737" s="191">
        <v>0</v>
      </c>
      <c r="G737" s="193">
        <v>30696</v>
      </c>
      <c r="H737" s="191">
        <v>0</v>
      </c>
      <c r="I737" s="193">
        <v>5335</v>
      </c>
      <c r="J737" s="193">
        <v>5602</v>
      </c>
      <c r="K737" s="193">
        <v>5965</v>
      </c>
      <c r="L737" s="193">
        <v>4886</v>
      </c>
      <c r="M737" s="193">
        <v>5627</v>
      </c>
      <c r="N737" s="193">
        <v>5725</v>
      </c>
      <c r="O737" s="193">
        <v>6442</v>
      </c>
      <c r="P737" s="193">
        <v>5077</v>
      </c>
    </row>
    <row r="738" spans="1:16" x14ac:dyDescent="0.25">
      <c r="A738" s="190">
        <v>801010402</v>
      </c>
      <c r="B738" s="190" t="s">
        <v>430</v>
      </c>
      <c r="C738" s="190">
        <v>3111</v>
      </c>
      <c r="D738" s="190" t="s">
        <v>408</v>
      </c>
      <c r="E738" s="193">
        <v>9227</v>
      </c>
      <c r="F738" s="193">
        <v>8793</v>
      </c>
      <c r="G738" s="193">
        <v>11868</v>
      </c>
      <c r="H738" s="193">
        <v>13415</v>
      </c>
      <c r="I738" s="193">
        <v>14261</v>
      </c>
      <c r="J738" s="193">
        <v>15224</v>
      </c>
      <c r="K738" s="193">
        <v>13561</v>
      </c>
      <c r="L738" s="193">
        <v>9693</v>
      </c>
      <c r="M738" s="193">
        <v>9596</v>
      </c>
      <c r="N738" s="193">
        <v>15381</v>
      </c>
      <c r="O738" s="193">
        <v>15006</v>
      </c>
      <c r="P738" s="193">
        <v>12858</v>
      </c>
    </row>
    <row r="739" spans="1:16" x14ac:dyDescent="0.25">
      <c r="A739" s="190">
        <v>801010402</v>
      </c>
      <c r="B739" s="190" t="s">
        <v>431</v>
      </c>
      <c r="C739" s="190">
        <v>3111</v>
      </c>
      <c r="D739" s="190" t="s">
        <v>408</v>
      </c>
      <c r="E739" s="193">
        <v>8337</v>
      </c>
      <c r="F739" s="191">
        <v>0</v>
      </c>
      <c r="G739" s="193">
        <v>20382</v>
      </c>
      <c r="H739" s="193">
        <v>9323</v>
      </c>
      <c r="I739" s="193">
        <v>8413</v>
      </c>
      <c r="J739" s="193">
        <v>8461</v>
      </c>
      <c r="K739" s="193">
        <v>8169</v>
      </c>
      <c r="L739" s="193">
        <v>7969</v>
      </c>
      <c r="M739" s="193">
        <v>7573</v>
      </c>
      <c r="N739" s="193">
        <v>9785</v>
      </c>
      <c r="O739" s="193">
        <v>10633</v>
      </c>
      <c r="P739" s="193">
        <v>11122</v>
      </c>
    </row>
    <row r="740" spans="1:16" x14ac:dyDescent="0.25">
      <c r="A740" s="190">
        <v>801010402</v>
      </c>
      <c r="B740" s="190" t="s">
        <v>432</v>
      </c>
      <c r="C740" s="190">
        <v>3111</v>
      </c>
      <c r="D740" s="190" t="s">
        <v>409</v>
      </c>
      <c r="E740" s="191">
        <v>0</v>
      </c>
      <c r="F740" s="191">
        <v>0</v>
      </c>
      <c r="G740" s="191">
        <v>0</v>
      </c>
      <c r="H740" s="191">
        <v>0</v>
      </c>
      <c r="I740" s="191">
        <v>0</v>
      </c>
      <c r="J740" s="191">
        <v>0</v>
      </c>
      <c r="K740" s="191">
        <v>0</v>
      </c>
      <c r="L740" s="193">
        <v>7108</v>
      </c>
      <c r="M740" s="191">
        <v>0</v>
      </c>
      <c r="N740" s="191">
        <v>0</v>
      </c>
      <c r="O740" s="191">
        <v>0</v>
      </c>
      <c r="P740" s="191">
        <v>0</v>
      </c>
    </row>
    <row r="741" spans="1:16" x14ac:dyDescent="0.25">
      <c r="A741" s="190">
        <v>801010402</v>
      </c>
      <c r="B741" s="190" t="s">
        <v>432</v>
      </c>
      <c r="C741" s="190">
        <v>3111</v>
      </c>
      <c r="D741" s="190" t="s">
        <v>408</v>
      </c>
      <c r="E741" s="191">
        <v>0</v>
      </c>
      <c r="F741" s="191">
        <v>0</v>
      </c>
      <c r="G741" s="191">
        <v>0</v>
      </c>
      <c r="H741" s="191">
        <v>0</v>
      </c>
      <c r="I741" s="193">
        <v>6399</v>
      </c>
      <c r="J741" s="191">
        <v>509</v>
      </c>
      <c r="K741" s="193">
        <v>3732</v>
      </c>
      <c r="L741" s="191">
        <v>0</v>
      </c>
      <c r="M741" s="193">
        <v>6458</v>
      </c>
      <c r="N741" s="193">
        <v>7931</v>
      </c>
      <c r="O741" s="193">
        <v>8293</v>
      </c>
      <c r="P741" s="193">
        <v>9453</v>
      </c>
    </row>
    <row r="742" spans="1:16" x14ac:dyDescent="0.25">
      <c r="A742" s="190">
        <v>801010402</v>
      </c>
      <c r="B742" s="190" t="s">
        <v>437</v>
      </c>
      <c r="C742" s="190">
        <v>3111</v>
      </c>
      <c r="D742" s="190" t="s">
        <v>409</v>
      </c>
      <c r="E742" s="191">
        <v>0</v>
      </c>
      <c r="F742" s="191">
        <v>0</v>
      </c>
      <c r="G742" s="191">
        <v>0</v>
      </c>
      <c r="H742" s="191">
        <v>0</v>
      </c>
      <c r="I742" s="191">
        <v>0</v>
      </c>
      <c r="J742" s="191">
        <v>0</v>
      </c>
      <c r="K742" s="191">
        <v>0</v>
      </c>
      <c r="L742" s="193">
        <v>26601</v>
      </c>
      <c r="M742" s="191">
        <v>0</v>
      </c>
      <c r="N742" s="191">
        <v>0</v>
      </c>
      <c r="O742" s="191">
        <v>0</v>
      </c>
      <c r="P742" s="191">
        <v>0</v>
      </c>
    </row>
    <row r="743" spans="1:16" x14ac:dyDescent="0.25">
      <c r="A743" s="190">
        <v>801010402</v>
      </c>
      <c r="B743" s="190" t="s">
        <v>437</v>
      </c>
      <c r="C743" s="190">
        <v>3111</v>
      </c>
      <c r="D743" s="190" t="s">
        <v>408</v>
      </c>
      <c r="E743" s="193">
        <v>32578</v>
      </c>
      <c r="F743" s="193">
        <v>35548</v>
      </c>
      <c r="G743" s="193">
        <v>67627</v>
      </c>
      <c r="H743" s="193">
        <v>30678</v>
      </c>
      <c r="I743" s="193">
        <v>32502</v>
      </c>
      <c r="J743" s="193">
        <v>31722</v>
      </c>
      <c r="K743" s="193">
        <v>26107</v>
      </c>
      <c r="L743" s="191">
        <v>0</v>
      </c>
      <c r="M743" s="193">
        <v>32322</v>
      </c>
      <c r="N743" s="193">
        <v>29930</v>
      </c>
      <c r="O743" s="193">
        <v>29914</v>
      </c>
      <c r="P743" s="193">
        <v>33566</v>
      </c>
    </row>
    <row r="744" spans="1:16" x14ac:dyDescent="0.25">
      <c r="A744" s="190">
        <v>801010402</v>
      </c>
      <c r="B744" s="190" t="s">
        <v>437</v>
      </c>
      <c r="C744" s="190">
        <v>3121</v>
      </c>
      <c r="D744" s="190" t="s">
        <v>408</v>
      </c>
      <c r="E744" s="191">
        <v>0</v>
      </c>
      <c r="F744" s="191">
        <v>0</v>
      </c>
      <c r="G744" s="193">
        <v>75588.22</v>
      </c>
      <c r="H744" s="191">
        <v>0</v>
      </c>
      <c r="I744" s="191">
        <v>0</v>
      </c>
      <c r="J744" s="191">
        <v>0</v>
      </c>
      <c r="K744" s="193">
        <v>38417.620000000003</v>
      </c>
      <c r="L744" s="191">
        <v>0</v>
      </c>
      <c r="M744" s="191">
        <v>0</v>
      </c>
      <c r="N744" s="193">
        <v>45131.45</v>
      </c>
      <c r="O744" s="191">
        <v>0</v>
      </c>
      <c r="P744" s="191">
        <v>0</v>
      </c>
    </row>
    <row r="745" spans="1:16" x14ac:dyDescent="0.25">
      <c r="A745" s="190">
        <v>801010402</v>
      </c>
      <c r="B745" s="190" t="s">
        <v>407</v>
      </c>
      <c r="C745" s="190">
        <v>3131</v>
      </c>
      <c r="D745" s="190" t="s">
        <v>408</v>
      </c>
      <c r="E745" s="191">
        <v>0</v>
      </c>
      <c r="F745" s="191">
        <v>0</v>
      </c>
      <c r="G745" s="191">
        <v>0</v>
      </c>
      <c r="H745" s="191">
        <v>0</v>
      </c>
      <c r="I745" s="191">
        <v>0</v>
      </c>
      <c r="J745" s="191">
        <v>0</v>
      </c>
      <c r="K745" s="191">
        <v>0</v>
      </c>
      <c r="L745" s="191">
        <v>0</v>
      </c>
      <c r="M745" s="191">
        <v>0</v>
      </c>
      <c r="N745" s="193">
        <v>4640</v>
      </c>
      <c r="O745" s="193">
        <v>4640</v>
      </c>
      <c r="P745" s="193">
        <v>4640</v>
      </c>
    </row>
    <row r="746" spans="1:16" x14ac:dyDescent="0.25">
      <c r="A746" s="190">
        <v>801010402</v>
      </c>
      <c r="B746" s="190" t="s">
        <v>419</v>
      </c>
      <c r="C746" s="190">
        <v>3131</v>
      </c>
      <c r="D746" s="190" t="s">
        <v>408</v>
      </c>
      <c r="E746" s="191">
        <v>0</v>
      </c>
      <c r="F746" s="191">
        <v>0</v>
      </c>
      <c r="G746" s="191">
        <v>0</v>
      </c>
      <c r="H746" s="191">
        <v>0</v>
      </c>
      <c r="I746" s="191">
        <v>0</v>
      </c>
      <c r="J746" s="191">
        <v>0</v>
      </c>
      <c r="K746" s="191">
        <v>0</v>
      </c>
      <c r="L746" s="191">
        <v>0</v>
      </c>
      <c r="M746" s="191">
        <v>0</v>
      </c>
      <c r="N746" s="191">
        <v>580</v>
      </c>
      <c r="O746" s="191">
        <v>0</v>
      </c>
      <c r="P746" s="191">
        <v>0</v>
      </c>
    </row>
    <row r="747" spans="1:16" x14ac:dyDescent="0.25">
      <c r="A747" s="190">
        <v>801010402</v>
      </c>
      <c r="B747" s="190" t="s">
        <v>426</v>
      </c>
      <c r="C747" s="190">
        <v>3131</v>
      </c>
      <c r="D747" s="190" t="s">
        <v>408</v>
      </c>
      <c r="E747" s="191">
        <v>0</v>
      </c>
      <c r="F747" s="191">
        <v>0</v>
      </c>
      <c r="G747" s="191">
        <v>0</v>
      </c>
      <c r="H747" s="193">
        <v>13920</v>
      </c>
      <c r="I747" s="191">
        <v>0</v>
      </c>
      <c r="J747" s="193">
        <v>3712</v>
      </c>
      <c r="K747" s="193">
        <v>3132</v>
      </c>
      <c r="L747" s="191">
        <v>0</v>
      </c>
      <c r="M747" s="191">
        <v>0</v>
      </c>
      <c r="N747" s="193">
        <v>2088</v>
      </c>
      <c r="O747" s="193">
        <v>3132</v>
      </c>
      <c r="P747" s="193">
        <v>5616</v>
      </c>
    </row>
    <row r="748" spans="1:16" x14ac:dyDescent="0.25">
      <c r="A748" s="190">
        <v>801010402</v>
      </c>
      <c r="B748" s="190" t="s">
        <v>428</v>
      </c>
      <c r="C748" s="190">
        <v>3131</v>
      </c>
      <c r="D748" s="190" t="s">
        <v>408</v>
      </c>
      <c r="E748" s="191">
        <v>0</v>
      </c>
      <c r="F748" s="191">
        <v>0</v>
      </c>
      <c r="G748" s="191">
        <v>0</v>
      </c>
      <c r="H748" s="191">
        <v>0</v>
      </c>
      <c r="I748" s="191">
        <v>0</v>
      </c>
      <c r="J748" s="191">
        <v>0</v>
      </c>
      <c r="K748" s="191">
        <v>0</v>
      </c>
      <c r="L748" s="191">
        <v>0</v>
      </c>
      <c r="M748" s="193">
        <v>5568</v>
      </c>
      <c r="N748" s="191">
        <v>0</v>
      </c>
      <c r="O748" s="191">
        <v>0</v>
      </c>
      <c r="P748" s="191">
        <v>0</v>
      </c>
    </row>
    <row r="749" spans="1:16" x14ac:dyDescent="0.25">
      <c r="A749" s="190">
        <v>801010402</v>
      </c>
      <c r="B749" s="190" t="s">
        <v>429</v>
      </c>
      <c r="C749" s="190">
        <v>3131</v>
      </c>
      <c r="D749" s="190" t="s">
        <v>408</v>
      </c>
      <c r="E749" s="191">
        <v>0</v>
      </c>
      <c r="F749" s="191">
        <v>0</v>
      </c>
      <c r="G749" s="191">
        <v>0</v>
      </c>
      <c r="H749" s="191">
        <v>0</v>
      </c>
      <c r="I749" s="191">
        <v>0</v>
      </c>
      <c r="J749" s="191">
        <v>0</v>
      </c>
      <c r="K749" s="191">
        <v>0</v>
      </c>
      <c r="L749" s="191">
        <v>0</v>
      </c>
      <c r="M749" s="191">
        <v>0</v>
      </c>
      <c r="N749" s="191">
        <v>0</v>
      </c>
      <c r="O749" s="191">
        <v>0</v>
      </c>
      <c r="P749" s="191">
        <v>580</v>
      </c>
    </row>
    <row r="750" spans="1:16" x14ac:dyDescent="0.25">
      <c r="A750" s="190">
        <v>801010402</v>
      </c>
      <c r="B750" s="190" t="s">
        <v>437</v>
      </c>
      <c r="C750" s="190">
        <v>3131</v>
      </c>
      <c r="D750" s="190" t="s">
        <v>408</v>
      </c>
      <c r="E750" s="191">
        <v>0</v>
      </c>
      <c r="F750" s="193">
        <v>18557</v>
      </c>
      <c r="G750" s="191">
        <v>0</v>
      </c>
      <c r="H750" s="193">
        <v>394305</v>
      </c>
      <c r="I750" s="191">
        <v>0</v>
      </c>
      <c r="J750" s="191">
        <v>0</v>
      </c>
      <c r="K750" s="191">
        <v>0</v>
      </c>
      <c r="L750" s="193">
        <v>19424</v>
      </c>
      <c r="M750" s="191">
        <v>0</v>
      </c>
      <c r="N750" s="191">
        <v>0</v>
      </c>
      <c r="O750" s="193">
        <v>38512</v>
      </c>
      <c r="P750" s="193">
        <v>11031</v>
      </c>
    </row>
    <row r="751" spans="1:16" x14ac:dyDescent="0.25">
      <c r="A751" s="190">
        <v>801010402</v>
      </c>
      <c r="B751" s="190" t="s">
        <v>437</v>
      </c>
      <c r="C751" s="190">
        <v>3132</v>
      </c>
      <c r="D751" s="190" t="s">
        <v>408</v>
      </c>
      <c r="E751" s="191">
        <v>0</v>
      </c>
      <c r="F751" s="191">
        <v>0</v>
      </c>
      <c r="G751" s="191">
        <v>0</v>
      </c>
      <c r="H751" s="191">
        <v>0</v>
      </c>
      <c r="I751" s="191">
        <v>0</v>
      </c>
      <c r="J751" s="193">
        <v>15312</v>
      </c>
      <c r="K751" s="191">
        <v>0</v>
      </c>
      <c r="L751" s="191">
        <v>0</v>
      </c>
      <c r="M751" s="191">
        <v>0</v>
      </c>
      <c r="N751" s="191">
        <v>0</v>
      </c>
      <c r="O751" s="191">
        <v>0</v>
      </c>
      <c r="P751" s="191">
        <v>0</v>
      </c>
    </row>
    <row r="752" spans="1:16" x14ac:dyDescent="0.25">
      <c r="A752" s="190">
        <v>801010402</v>
      </c>
      <c r="B752" s="190" t="s">
        <v>407</v>
      </c>
      <c r="C752" s="190">
        <v>3141</v>
      </c>
      <c r="D752" s="190" t="s">
        <v>409</v>
      </c>
      <c r="E752" s="191">
        <v>0</v>
      </c>
      <c r="F752" s="191">
        <v>0</v>
      </c>
      <c r="G752" s="191">
        <v>0</v>
      </c>
      <c r="H752" s="191">
        <v>0</v>
      </c>
      <c r="I752" s="191">
        <v>0</v>
      </c>
      <c r="J752" s="191">
        <v>0</v>
      </c>
      <c r="K752" s="191">
        <v>0</v>
      </c>
      <c r="L752" s="193">
        <v>4024</v>
      </c>
      <c r="M752" s="191">
        <v>0</v>
      </c>
      <c r="N752" s="191">
        <v>0</v>
      </c>
      <c r="O752" s="191">
        <v>0</v>
      </c>
      <c r="P752" s="191">
        <v>0</v>
      </c>
    </row>
    <row r="753" spans="1:16" x14ac:dyDescent="0.25">
      <c r="A753" s="190">
        <v>801010402</v>
      </c>
      <c r="B753" s="190" t="s">
        <v>407</v>
      </c>
      <c r="C753" s="190">
        <v>3141</v>
      </c>
      <c r="D753" s="190" t="s">
        <v>408</v>
      </c>
      <c r="E753" s="193">
        <v>10158</v>
      </c>
      <c r="F753" s="191">
        <v>0</v>
      </c>
      <c r="G753" s="193">
        <v>4303</v>
      </c>
      <c r="H753" s="193">
        <v>24377.39</v>
      </c>
      <c r="I753" s="193">
        <v>4576</v>
      </c>
      <c r="J753" s="193">
        <v>1253.2</v>
      </c>
      <c r="K753" s="193">
        <v>8452</v>
      </c>
      <c r="L753" s="191">
        <v>0</v>
      </c>
      <c r="M753" s="193">
        <v>44386.39</v>
      </c>
      <c r="N753" s="193">
        <v>37500.44</v>
      </c>
      <c r="O753" s="193">
        <v>5469.2</v>
      </c>
      <c r="P753" s="193">
        <v>5804.2</v>
      </c>
    </row>
    <row r="754" spans="1:16" x14ac:dyDescent="0.25">
      <c r="A754" s="190">
        <v>801010402</v>
      </c>
      <c r="B754" s="190" t="s">
        <v>410</v>
      </c>
      <c r="C754" s="190">
        <v>3141</v>
      </c>
      <c r="D754" s="190" t="s">
        <v>408</v>
      </c>
      <c r="E754" s="191">
        <v>0</v>
      </c>
      <c r="F754" s="191">
        <v>0</v>
      </c>
      <c r="G754" s="191">
        <v>0</v>
      </c>
      <c r="H754" s="191">
        <v>0</v>
      </c>
      <c r="I754" s="191">
        <v>0</v>
      </c>
      <c r="J754" s="191">
        <v>0</v>
      </c>
      <c r="K754" s="191">
        <v>0</v>
      </c>
      <c r="L754" s="193">
        <v>1753</v>
      </c>
      <c r="M754" s="191">
        <v>0</v>
      </c>
      <c r="N754" s="191">
        <v>0</v>
      </c>
      <c r="O754" s="191">
        <v>0</v>
      </c>
      <c r="P754" s="191">
        <v>0</v>
      </c>
    </row>
    <row r="755" spans="1:16" x14ac:dyDescent="0.25">
      <c r="A755" s="190">
        <v>801010402</v>
      </c>
      <c r="B755" s="190" t="s">
        <v>411</v>
      </c>
      <c r="C755" s="190">
        <v>3141</v>
      </c>
      <c r="D755" s="190" t="s">
        <v>408</v>
      </c>
      <c r="E755" s="193">
        <v>1900</v>
      </c>
      <c r="F755" s="193">
        <v>1900</v>
      </c>
      <c r="G755" s="193">
        <v>1900</v>
      </c>
      <c r="H755" s="193">
        <v>1900</v>
      </c>
      <c r="I755" s="191">
        <v>0</v>
      </c>
      <c r="J755" s="193">
        <v>5700</v>
      </c>
      <c r="K755" s="193">
        <v>1605</v>
      </c>
      <c r="L755" s="193">
        <v>1605</v>
      </c>
      <c r="M755" s="191">
        <v>0</v>
      </c>
      <c r="N755" s="191">
        <v>0</v>
      </c>
      <c r="O755" s="191">
        <v>0</v>
      </c>
      <c r="P755" s="191">
        <v>0</v>
      </c>
    </row>
    <row r="756" spans="1:16" x14ac:dyDescent="0.25">
      <c r="A756" s="190">
        <v>801010402</v>
      </c>
      <c r="B756" s="190" t="s">
        <v>412</v>
      </c>
      <c r="C756" s="190">
        <v>3141</v>
      </c>
      <c r="D756" s="190" t="s">
        <v>408</v>
      </c>
      <c r="E756" s="193">
        <v>1752</v>
      </c>
      <c r="F756" s="193">
        <v>1752</v>
      </c>
      <c r="G756" s="193">
        <v>1752</v>
      </c>
      <c r="H756" s="193">
        <v>1752</v>
      </c>
      <c r="I756" s="193">
        <v>1752</v>
      </c>
      <c r="J756" s="193">
        <v>1752</v>
      </c>
      <c r="K756" s="191">
        <v>0</v>
      </c>
      <c r="L756" s="193">
        <v>1753</v>
      </c>
      <c r="M756" s="193">
        <v>3996</v>
      </c>
      <c r="N756" s="193">
        <v>1752.5</v>
      </c>
      <c r="O756" s="193">
        <v>1752.2</v>
      </c>
      <c r="P756" s="193">
        <v>1752</v>
      </c>
    </row>
    <row r="757" spans="1:16" x14ac:dyDescent="0.25">
      <c r="A757" s="190">
        <v>801010402</v>
      </c>
      <c r="B757" s="190" t="s">
        <v>413</v>
      </c>
      <c r="C757" s="190">
        <v>3141</v>
      </c>
      <c r="D757" s="190" t="s">
        <v>408</v>
      </c>
      <c r="E757" s="193">
        <v>1468</v>
      </c>
      <c r="F757" s="193">
        <v>1468</v>
      </c>
      <c r="G757" s="193">
        <v>1468</v>
      </c>
      <c r="H757" s="193">
        <v>2936</v>
      </c>
      <c r="I757" s="191">
        <v>0</v>
      </c>
      <c r="J757" s="193">
        <v>2936</v>
      </c>
      <c r="K757" s="191">
        <v>0</v>
      </c>
      <c r="L757" s="193">
        <v>1468</v>
      </c>
      <c r="M757" s="193">
        <v>1469</v>
      </c>
      <c r="N757" s="193">
        <v>1468</v>
      </c>
      <c r="O757" s="193">
        <v>1708</v>
      </c>
      <c r="P757" s="193">
        <v>1708</v>
      </c>
    </row>
    <row r="758" spans="1:16" x14ac:dyDescent="0.25">
      <c r="A758" s="190">
        <v>801010402</v>
      </c>
      <c r="B758" s="190" t="s">
        <v>415</v>
      </c>
      <c r="C758" s="190">
        <v>3141</v>
      </c>
      <c r="D758" s="190" t="s">
        <v>408</v>
      </c>
      <c r="E758" s="191">
        <v>0</v>
      </c>
      <c r="F758" s="191">
        <v>0</v>
      </c>
      <c r="G758" s="191">
        <v>0</v>
      </c>
      <c r="H758" s="191">
        <v>0</v>
      </c>
      <c r="I758" s="191">
        <v>0</v>
      </c>
      <c r="J758" s="193">
        <v>2368</v>
      </c>
      <c r="K758" s="191">
        <v>0</v>
      </c>
      <c r="L758" s="191">
        <v>782</v>
      </c>
      <c r="M758" s="191">
        <v>783</v>
      </c>
      <c r="N758" s="193">
        <v>1647.17</v>
      </c>
      <c r="O758" s="191">
        <v>844</v>
      </c>
      <c r="P758" s="191">
        <v>895</v>
      </c>
    </row>
    <row r="759" spans="1:16" x14ac:dyDescent="0.25">
      <c r="A759" s="190">
        <v>801010402</v>
      </c>
      <c r="B759" s="190" t="s">
        <v>417</v>
      </c>
      <c r="C759" s="190">
        <v>3141</v>
      </c>
      <c r="D759" s="190" t="s">
        <v>409</v>
      </c>
      <c r="E759" s="191">
        <v>0</v>
      </c>
      <c r="F759" s="191">
        <v>0</v>
      </c>
      <c r="G759" s="191">
        <v>0</v>
      </c>
      <c r="H759" s="191">
        <v>0</v>
      </c>
      <c r="I759" s="191">
        <v>0</v>
      </c>
      <c r="J759" s="191">
        <v>0</v>
      </c>
      <c r="K759" s="191">
        <v>0</v>
      </c>
      <c r="L759" s="191">
        <v>800</v>
      </c>
      <c r="M759" s="191">
        <v>0</v>
      </c>
      <c r="N759" s="191">
        <v>0</v>
      </c>
      <c r="O759" s="191">
        <v>0</v>
      </c>
      <c r="P759" s="191">
        <v>0</v>
      </c>
    </row>
    <row r="760" spans="1:16" x14ac:dyDescent="0.25">
      <c r="A760" s="190">
        <v>801010402</v>
      </c>
      <c r="B760" s="190" t="s">
        <v>417</v>
      </c>
      <c r="C760" s="190">
        <v>3141</v>
      </c>
      <c r="D760" s="190" t="s">
        <v>408</v>
      </c>
      <c r="E760" s="193">
        <v>1598.5</v>
      </c>
      <c r="F760" s="191">
        <v>0</v>
      </c>
      <c r="G760" s="191">
        <v>0</v>
      </c>
      <c r="H760" s="193">
        <v>2397</v>
      </c>
      <c r="I760" s="191">
        <v>0</v>
      </c>
      <c r="J760" s="191">
        <v>801</v>
      </c>
      <c r="K760" s="191">
        <v>838</v>
      </c>
      <c r="L760" s="191">
        <v>0</v>
      </c>
      <c r="M760" s="191">
        <v>0</v>
      </c>
      <c r="N760" s="191">
        <v>0</v>
      </c>
      <c r="O760" s="191">
        <v>0</v>
      </c>
      <c r="P760" s="191">
        <v>0</v>
      </c>
    </row>
    <row r="761" spans="1:16" x14ac:dyDescent="0.25">
      <c r="A761" s="190">
        <v>801010402</v>
      </c>
      <c r="B761" s="190" t="s">
        <v>421</v>
      </c>
      <c r="C761" s="190">
        <v>3141</v>
      </c>
      <c r="D761" s="190" t="s">
        <v>409</v>
      </c>
      <c r="E761" s="191">
        <v>0</v>
      </c>
      <c r="F761" s="191">
        <v>0</v>
      </c>
      <c r="G761" s="191">
        <v>0</v>
      </c>
      <c r="H761" s="191">
        <v>0</v>
      </c>
      <c r="I761" s="191">
        <v>0</v>
      </c>
      <c r="J761" s="191">
        <v>0</v>
      </c>
      <c r="K761" s="191">
        <v>0</v>
      </c>
      <c r="L761" s="191">
        <v>549</v>
      </c>
      <c r="M761" s="191">
        <v>0</v>
      </c>
      <c r="N761" s="191">
        <v>0</v>
      </c>
      <c r="O761" s="191">
        <v>0</v>
      </c>
      <c r="P761" s="191">
        <v>0</v>
      </c>
    </row>
    <row r="762" spans="1:16" x14ac:dyDescent="0.25">
      <c r="A762" s="190">
        <v>801010402</v>
      </c>
      <c r="B762" s="190" t="s">
        <v>421</v>
      </c>
      <c r="C762" s="190">
        <v>3141</v>
      </c>
      <c r="D762" s="190" t="s">
        <v>408</v>
      </c>
      <c r="E762" s="191">
        <v>0</v>
      </c>
      <c r="F762" s="191">
        <v>878.62</v>
      </c>
      <c r="G762" s="191">
        <v>267.38</v>
      </c>
      <c r="H762" s="193">
        <v>1251</v>
      </c>
      <c r="I762" s="191">
        <v>643</v>
      </c>
      <c r="J762" s="191">
        <v>0</v>
      </c>
      <c r="K762" s="191">
        <v>549</v>
      </c>
      <c r="L762" s="191">
        <v>0</v>
      </c>
      <c r="M762" s="191">
        <v>0</v>
      </c>
      <c r="N762" s="193">
        <v>7492</v>
      </c>
      <c r="O762" s="191">
        <v>0</v>
      </c>
      <c r="P762" s="191">
        <v>0</v>
      </c>
    </row>
    <row r="763" spans="1:16" x14ac:dyDescent="0.25">
      <c r="A763" s="190">
        <v>801010402</v>
      </c>
      <c r="B763" s="190" t="s">
        <v>424</v>
      </c>
      <c r="C763" s="190">
        <v>3141</v>
      </c>
      <c r="D763" s="190" t="s">
        <v>408</v>
      </c>
      <c r="E763" s="191">
        <v>799</v>
      </c>
      <c r="F763" s="191">
        <v>0</v>
      </c>
      <c r="G763" s="193">
        <v>1600</v>
      </c>
      <c r="H763" s="191">
        <v>801</v>
      </c>
      <c r="I763" s="191">
        <v>0</v>
      </c>
      <c r="J763" s="193">
        <v>2400</v>
      </c>
      <c r="K763" s="191">
        <v>800</v>
      </c>
      <c r="L763" s="191">
        <v>799</v>
      </c>
      <c r="M763" s="191">
        <v>799</v>
      </c>
      <c r="N763" s="191">
        <v>0</v>
      </c>
      <c r="O763" s="191">
        <v>0</v>
      </c>
      <c r="P763" s="191">
        <v>0</v>
      </c>
    </row>
    <row r="764" spans="1:16" x14ac:dyDescent="0.25">
      <c r="A764" s="190">
        <v>801010402</v>
      </c>
      <c r="B764" s="190" t="s">
        <v>426</v>
      </c>
      <c r="C764" s="190">
        <v>3141</v>
      </c>
      <c r="D764" s="190" t="s">
        <v>409</v>
      </c>
      <c r="E764" s="191">
        <v>0</v>
      </c>
      <c r="F764" s="191">
        <v>0</v>
      </c>
      <c r="G764" s="191">
        <v>0</v>
      </c>
      <c r="H764" s="191">
        <v>0</v>
      </c>
      <c r="I764" s="191">
        <v>0</v>
      </c>
      <c r="J764" s="191">
        <v>0</v>
      </c>
      <c r="K764" s="191">
        <v>0</v>
      </c>
      <c r="L764" s="191">
        <v>634</v>
      </c>
      <c r="M764" s="191">
        <v>0</v>
      </c>
      <c r="N764" s="191">
        <v>0</v>
      </c>
      <c r="O764" s="191">
        <v>0</v>
      </c>
      <c r="P764" s="191">
        <v>0</v>
      </c>
    </row>
    <row r="765" spans="1:16" x14ac:dyDescent="0.25">
      <c r="A765" s="190">
        <v>801010402</v>
      </c>
      <c r="B765" s="190" t="s">
        <v>426</v>
      </c>
      <c r="C765" s="190">
        <v>3141</v>
      </c>
      <c r="D765" s="190" t="s">
        <v>408</v>
      </c>
      <c r="E765" s="191">
        <v>0</v>
      </c>
      <c r="F765" s="193">
        <v>1789</v>
      </c>
      <c r="G765" s="191">
        <v>0</v>
      </c>
      <c r="H765" s="193">
        <v>4491</v>
      </c>
      <c r="I765" s="191">
        <v>0</v>
      </c>
      <c r="J765" s="193">
        <v>7005</v>
      </c>
      <c r="K765" s="191">
        <v>0</v>
      </c>
      <c r="L765" s="193">
        <v>1789</v>
      </c>
      <c r="M765" s="193">
        <v>2818</v>
      </c>
      <c r="N765" s="191">
        <v>0</v>
      </c>
      <c r="O765" s="191">
        <v>0</v>
      </c>
      <c r="P765" s="191">
        <v>0</v>
      </c>
    </row>
    <row r="766" spans="1:16" x14ac:dyDescent="0.25">
      <c r="A766" s="190">
        <v>801010402</v>
      </c>
      <c r="B766" s="190" t="s">
        <v>427</v>
      </c>
      <c r="C766" s="190">
        <v>3141</v>
      </c>
      <c r="D766" s="190" t="s">
        <v>409</v>
      </c>
      <c r="E766" s="191">
        <v>0</v>
      </c>
      <c r="F766" s="191">
        <v>0</v>
      </c>
      <c r="G766" s="191">
        <v>0</v>
      </c>
      <c r="H766" s="191">
        <v>0</v>
      </c>
      <c r="I766" s="191">
        <v>0</v>
      </c>
      <c r="J766" s="191">
        <v>0</v>
      </c>
      <c r="K766" s="191">
        <v>0</v>
      </c>
      <c r="L766" s="191">
        <v>782</v>
      </c>
      <c r="M766" s="191">
        <v>0</v>
      </c>
      <c r="N766" s="191">
        <v>0</v>
      </c>
      <c r="O766" s="191">
        <v>0</v>
      </c>
      <c r="P766" s="191">
        <v>0</v>
      </c>
    </row>
    <row r="767" spans="1:16" x14ac:dyDescent="0.25">
      <c r="A767" s="190">
        <v>801010402</v>
      </c>
      <c r="B767" s="190" t="s">
        <v>427</v>
      </c>
      <c r="C767" s="190">
        <v>3141</v>
      </c>
      <c r="D767" s="190" t="s">
        <v>408</v>
      </c>
      <c r="E767" s="191">
        <v>782</v>
      </c>
      <c r="F767" s="191">
        <v>0</v>
      </c>
      <c r="G767" s="191">
        <v>0</v>
      </c>
      <c r="H767" s="193">
        <v>2348</v>
      </c>
      <c r="I767" s="191">
        <v>783</v>
      </c>
      <c r="J767" s="191">
        <v>782</v>
      </c>
      <c r="K767" s="191">
        <v>783</v>
      </c>
      <c r="L767" s="191">
        <v>0</v>
      </c>
      <c r="M767" s="191">
        <v>0</v>
      </c>
      <c r="N767" s="191">
        <v>0</v>
      </c>
      <c r="O767" s="191">
        <v>0</v>
      </c>
      <c r="P767" s="191">
        <v>0</v>
      </c>
    </row>
    <row r="768" spans="1:16" x14ac:dyDescent="0.25">
      <c r="A768" s="190">
        <v>801010402</v>
      </c>
      <c r="B768" s="190" t="s">
        <v>429</v>
      </c>
      <c r="C768" s="190">
        <v>3141</v>
      </c>
      <c r="D768" s="190" t="s">
        <v>408</v>
      </c>
      <c r="E768" s="191">
        <v>0</v>
      </c>
      <c r="F768" s="191">
        <v>0</v>
      </c>
      <c r="G768" s="191">
        <v>0</v>
      </c>
      <c r="H768" s="193">
        <v>4618</v>
      </c>
      <c r="I768" s="191">
        <v>0</v>
      </c>
      <c r="J768" s="191">
        <v>0</v>
      </c>
      <c r="K768" s="191">
        <v>0</v>
      </c>
      <c r="L768" s="191">
        <v>0</v>
      </c>
      <c r="M768" s="191">
        <v>0</v>
      </c>
      <c r="N768" s="191">
        <v>0</v>
      </c>
      <c r="O768" s="191">
        <v>0</v>
      </c>
      <c r="P768" s="191">
        <v>0</v>
      </c>
    </row>
    <row r="769" spans="1:16" x14ac:dyDescent="0.25">
      <c r="A769" s="190">
        <v>801010402</v>
      </c>
      <c r="B769" s="190" t="s">
        <v>430</v>
      </c>
      <c r="C769" s="190">
        <v>3141</v>
      </c>
      <c r="D769" s="190" t="s">
        <v>409</v>
      </c>
      <c r="E769" s="191">
        <v>0</v>
      </c>
      <c r="F769" s="191">
        <v>0</v>
      </c>
      <c r="G769" s="191">
        <v>0</v>
      </c>
      <c r="H769" s="191">
        <v>0</v>
      </c>
      <c r="I769" s="191">
        <v>0</v>
      </c>
      <c r="J769" s="191">
        <v>0</v>
      </c>
      <c r="K769" s="191">
        <v>0</v>
      </c>
      <c r="L769" s="193">
        <v>1165</v>
      </c>
      <c r="M769" s="191">
        <v>0</v>
      </c>
      <c r="N769" s="191">
        <v>0</v>
      </c>
      <c r="O769" s="191">
        <v>0</v>
      </c>
      <c r="P769" s="191">
        <v>0</v>
      </c>
    </row>
    <row r="770" spans="1:16" x14ac:dyDescent="0.25">
      <c r="A770" s="190">
        <v>801010402</v>
      </c>
      <c r="B770" s="190" t="s">
        <v>430</v>
      </c>
      <c r="C770" s="190">
        <v>3141</v>
      </c>
      <c r="D770" s="190" t="s">
        <v>408</v>
      </c>
      <c r="E770" s="193">
        <v>1882</v>
      </c>
      <c r="F770" s="193">
        <v>1219</v>
      </c>
      <c r="G770" s="193">
        <v>1292</v>
      </c>
      <c r="H770" s="193">
        <v>1505</v>
      </c>
      <c r="I770" s="193">
        <v>1256</v>
      </c>
      <c r="J770" s="193">
        <v>1150</v>
      </c>
      <c r="K770" s="193">
        <v>1568</v>
      </c>
      <c r="L770" s="191">
        <v>0</v>
      </c>
      <c r="M770" s="191">
        <v>0</v>
      </c>
      <c r="N770" s="191">
        <v>0</v>
      </c>
      <c r="O770" s="191">
        <v>0</v>
      </c>
      <c r="P770" s="191">
        <v>0</v>
      </c>
    </row>
    <row r="771" spans="1:16" x14ac:dyDescent="0.25">
      <c r="A771" s="190">
        <v>801010402</v>
      </c>
      <c r="B771" s="190" t="s">
        <v>431</v>
      </c>
      <c r="C771" s="190">
        <v>3141</v>
      </c>
      <c r="D771" s="190" t="s">
        <v>409</v>
      </c>
      <c r="E771" s="191">
        <v>0</v>
      </c>
      <c r="F771" s="191">
        <v>0</v>
      </c>
      <c r="G771" s="191">
        <v>0</v>
      </c>
      <c r="H771" s="191">
        <v>0</v>
      </c>
      <c r="I771" s="191">
        <v>0</v>
      </c>
      <c r="J771" s="191">
        <v>0</v>
      </c>
      <c r="K771" s="191">
        <v>0</v>
      </c>
      <c r="L771" s="193">
        <v>1468</v>
      </c>
      <c r="M771" s="191">
        <v>0</v>
      </c>
      <c r="N771" s="191">
        <v>0</v>
      </c>
      <c r="O771" s="191">
        <v>0</v>
      </c>
      <c r="P771" s="191">
        <v>0</v>
      </c>
    </row>
    <row r="772" spans="1:16" x14ac:dyDescent="0.25">
      <c r="A772" s="190">
        <v>801010402</v>
      </c>
      <c r="B772" s="190" t="s">
        <v>431</v>
      </c>
      <c r="C772" s="190">
        <v>3141</v>
      </c>
      <c r="D772" s="190" t="s">
        <v>408</v>
      </c>
      <c r="E772" s="193">
        <v>1468</v>
      </c>
      <c r="F772" s="191">
        <v>0</v>
      </c>
      <c r="G772" s="193">
        <v>2907.72</v>
      </c>
      <c r="H772" s="193">
        <v>1497.28</v>
      </c>
      <c r="I772" s="193">
        <v>1468</v>
      </c>
      <c r="J772" s="193">
        <v>1468</v>
      </c>
      <c r="K772" s="191">
        <v>0</v>
      </c>
      <c r="L772" s="193">
        <v>1494</v>
      </c>
      <c r="M772" s="193">
        <v>1468</v>
      </c>
      <c r="N772" s="193">
        <v>1469</v>
      </c>
      <c r="O772" s="193">
        <v>1468</v>
      </c>
      <c r="P772" s="193">
        <v>1468</v>
      </c>
    </row>
    <row r="773" spans="1:16" x14ac:dyDescent="0.25">
      <c r="A773" s="190">
        <v>801010402</v>
      </c>
      <c r="B773" s="190" t="s">
        <v>437</v>
      </c>
      <c r="C773" s="190">
        <v>3141</v>
      </c>
      <c r="D773" s="190" t="s">
        <v>409</v>
      </c>
      <c r="E773" s="191">
        <v>0</v>
      </c>
      <c r="F773" s="191">
        <v>0</v>
      </c>
      <c r="G773" s="191">
        <v>0</v>
      </c>
      <c r="H773" s="191">
        <v>0</v>
      </c>
      <c r="I773" s="191">
        <v>0</v>
      </c>
      <c r="J773" s="191">
        <v>0</v>
      </c>
      <c r="K773" s="191">
        <v>0</v>
      </c>
      <c r="L773" s="191">
        <v>890</v>
      </c>
      <c r="M773" s="191">
        <v>0</v>
      </c>
      <c r="N773" s="191">
        <v>0</v>
      </c>
      <c r="O773" s="191">
        <v>0</v>
      </c>
      <c r="P773" s="191">
        <v>0</v>
      </c>
    </row>
    <row r="774" spans="1:16" x14ac:dyDescent="0.25">
      <c r="A774" s="190">
        <v>801010402</v>
      </c>
      <c r="B774" s="190" t="s">
        <v>437</v>
      </c>
      <c r="C774" s="190">
        <v>3141</v>
      </c>
      <c r="D774" s="190" t="s">
        <v>408</v>
      </c>
      <c r="E774" s="193">
        <v>3455</v>
      </c>
      <c r="F774" s="193">
        <v>2640</v>
      </c>
      <c r="G774" s="193">
        <v>3207</v>
      </c>
      <c r="H774" s="193">
        <v>3557</v>
      </c>
      <c r="I774" s="193">
        <v>3564</v>
      </c>
      <c r="J774" s="191">
        <v>0</v>
      </c>
      <c r="K774" s="193">
        <v>4118</v>
      </c>
      <c r="L774" s="193">
        <v>4140</v>
      </c>
      <c r="M774" s="191">
        <v>711</v>
      </c>
      <c r="N774" s="191">
        <v>874</v>
      </c>
      <c r="O774" s="191">
        <v>799</v>
      </c>
      <c r="P774" s="191">
        <v>711</v>
      </c>
    </row>
    <row r="775" spans="1:16" x14ac:dyDescent="0.25">
      <c r="A775" s="190">
        <v>801010402</v>
      </c>
      <c r="B775" s="190" t="s">
        <v>407</v>
      </c>
      <c r="C775" s="190">
        <v>3151</v>
      </c>
      <c r="D775" s="190" t="s">
        <v>408</v>
      </c>
      <c r="E775" s="193">
        <v>5256</v>
      </c>
      <c r="F775" s="193">
        <v>5501</v>
      </c>
      <c r="G775" s="193">
        <v>7552</v>
      </c>
      <c r="H775" s="193">
        <v>2179.42</v>
      </c>
      <c r="I775" s="193">
        <v>1539.45</v>
      </c>
      <c r="J775" s="191">
        <v>600</v>
      </c>
      <c r="K775" s="193">
        <v>3020.89</v>
      </c>
      <c r="L775" s="193">
        <v>2155.69</v>
      </c>
      <c r="M775" s="193">
        <v>4942.8</v>
      </c>
      <c r="N775" s="191">
        <v>0</v>
      </c>
      <c r="O775" s="193">
        <v>1898.48</v>
      </c>
      <c r="P775" s="193">
        <v>2204.48</v>
      </c>
    </row>
    <row r="776" spans="1:16" x14ac:dyDescent="0.25">
      <c r="A776" s="190">
        <v>801010402</v>
      </c>
      <c r="B776" s="190" t="s">
        <v>410</v>
      </c>
      <c r="C776" s="190">
        <v>3151</v>
      </c>
      <c r="D776" s="190" t="s">
        <v>408</v>
      </c>
      <c r="E776" s="191">
        <v>750</v>
      </c>
      <c r="F776" s="191">
        <v>738.75</v>
      </c>
      <c r="G776" s="191">
        <v>738.75</v>
      </c>
      <c r="H776" s="191">
        <v>269.83</v>
      </c>
      <c r="I776" s="191">
        <v>346.45</v>
      </c>
      <c r="J776" s="191">
        <v>0</v>
      </c>
      <c r="K776" s="193">
        <v>1006.93</v>
      </c>
      <c r="L776" s="191">
        <v>718.53</v>
      </c>
      <c r="M776" s="193">
        <v>1647.6</v>
      </c>
      <c r="N776" s="191">
        <v>0</v>
      </c>
      <c r="O776" s="191">
        <v>632.76</v>
      </c>
      <c r="P776" s="191">
        <v>734.76</v>
      </c>
    </row>
    <row r="777" spans="1:16" x14ac:dyDescent="0.25">
      <c r="A777" s="190">
        <v>801010402</v>
      </c>
      <c r="B777" s="190" t="s">
        <v>411</v>
      </c>
      <c r="C777" s="190">
        <v>3151</v>
      </c>
      <c r="D777" s="190" t="s">
        <v>408</v>
      </c>
      <c r="E777" s="191">
        <v>750</v>
      </c>
      <c r="F777" s="191">
        <v>738.75</v>
      </c>
      <c r="G777" s="191">
        <v>738.75</v>
      </c>
      <c r="H777" s="191">
        <v>269.83</v>
      </c>
      <c r="I777" s="191">
        <v>646.45000000000005</v>
      </c>
      <c r="J777" s="191">
        <v>0</v>
      </c>
      <c r="K777" s="193">
        <v>1006.93</v>
      </c>
      <c r="L777" s="191">
        <v>718.53</v>
      </c>
      <c r="M777" s="193">
        <v>1647.6</v>
      </c>
      <c r="N777" s="191">
        <v>0</v>
      </c>
      <c r="O777" s="191">
        <v>632.76</v>
      </c>
      <c r="P777" s="191">
        <v>734.76</v>
      </c>
    </row>
    <row r="778" spans="1:16" x14ac:dyDescent="0.25">
      <c r="A778" s="190">
        <v>801010402</v>
      </c>
      <c r="B778" s="190" t="s">
        <v>412</v>
      </c>
      <c r="C778" s="190">
        <v>3151</v>
      </c>
      <c r="D778" s="190" t="s">
        <v>408</v>
      </c>
      <c r="E778" s="191">
        <v>342</v>
      </c>
      <c r="F778" s="191">
        <v>342</v>
      </c>
      <c r="G778" s="191">
        <v>342</v>
      </c>
      <c r="H778" s="191">
        <v>269.83</v>
      </c>
      <c r="I778" s="191">
        <v>346.45</v>
      </c>
      <c r="J778" s="191">
        <v>0</v>
      </c>
      <c r="K778" s="193">
        <v>1006.93</v>
      </c>
      <c r="L778" s="191">
        <v>718.53</v>
      </c>
      <c r="M778" s="193">
        <v>1647.6</v>
      </c>
      <c r="N778" s="191">
        <v>0</v>
      </c>
      <c r="O778" s="191">
        <v>632.76</v>
      </c>
      <c r="P778" s="191">
        <v>734.76</v>
      </c>
    </row>
    <row r="779" spans="1:16" x14ac:dyDescent="0.25">
      <c r="A779" s="190">
        <v>801010402</v>
      </c>
      <c r="B779" s="190" t="s">
        <v>413</v>
      </c>
      <c r="C779" s="190">
        <v>3151</v>
      </c>
      <c r="D779" s="190" t="s">
        <v>408</v>
      </c>
      <c r="E779" s="191">
        <v>342</v>
      </c>
      <c r="F779" s="191">
        <v>342</v>
      </c>
      <c r="G779" s="191">
        <v>342</v>
      </c>
      <c r="H779" s="191">
        <v>269.83</v>
      </c>
      <c r="I779" s="191">
        <v>346.45</v>
      </c>
      <c r="J779" s="191">
        <v>0</v>
      </c>
      <c r="K779" s="193">
        <v>1006.93</v>
      </c>
      <c r="L779" s="191">
        <v>718.53</v>
      </c>
      <c r="M779" s="193">
        <v>1647.6</v>
      </c>
      <c r="N779" s="191">
        <v>0</v>
      </c>
      <c r="O779" s="191">
        <v>632.76</v>
      </c>
      <c r="P779" s="191">
        <v>734.76</v>
      </c>
    </row>
    <row r="780" spans="1:16" x14ac:dyDescent="0.25">
      <c r="A780" s="190">
        <v>801010402</v>
      </c>
      <c r="B780" s="190" t="s">
        <v>414</v>
      </c>
      <c r="C780" s="190">
        <v>3151</v>
      </c>
      <c r="D780" s="190" t="s">
        <v>408</v>
      </c>
      <c r="E780" s="191">
        <v>750</v>
      </c>
      <c r="F780" s="191">
        <v>738.75</v>
      </c>
      <c r="G780" s="191">
        <v>738.75</v>
      </c>
      <c r="H780" s="191">
        <v>269.83</v>
      </c>
      <c r="I780" s="191">
        <v>346.45</v>
      </c>
      <c r="J780" s="191">
        <v>0</v>
      </c>
      <c r="K780" s="193">
        <v>1006.93</v>
      </c>
      <c r="L780" s="191">
        <v>718.53</v>
      </c>
      <c r="M780" s="193">
        <v>1647.6</v>
      </c>
      <c r="N780" s="191">
        <v>0</v>
      </c>
      <c r="O780" s="191">
        <v>632.76</v>
      </c>
      <c r="P780" s="191">
        <v>734.76</v>
      </c>
    </row>
    <row r="781" spans="1:16" x14ac:dyDescent="0.25">
      <c r="A781" s="190">
        <v>801010402</v>
      </c>
      <c r="B781" s="190" t="s">
        <v>415</v>
      </c>
      <c r="C781" s="190">
        <v>3151</v>
      </c>
      <c r="D781" s="190" t="s">
        <v>408</v>
      </c>
      <c r="E781" s="191">
        <v>750</v>
      </c>
      <c r="F781" s="191">
        <v>738.75</v>
      </c>
      <c r="G781" s="191">
        <v>738.75</v>
      </c>
      <c r="H781" s="191">
        <v>269.83</v>
      </c>
      <c r="I781" s="191">
        <v>346.45</v>
      </c>
      <c r="J781" s="191">
        <v>0</v>
      </c>
      <c r="K781" s="193">
        <v>1006.93</v>
      </c>
      <c r="L781" s="191">
        <v>718.53</v>
      </c>
      <c r="M781" s="193">
        <v>1647.6</v>
      </c>
      <c r="N781" s="191">
        <v>0</v>
      </c>
      <c r="O781" s="191">
        <v>632.76</v>
      </c>
      <c r="P781" s="191">
        <v>734.76</v>
      </c>
    </row>
    <row r="782" spans="1:16" x14ac:dyDescent="0.25">
      <c r="A782" s="190">
        <v>801010402</v>
      </c>
      <c r="B782" s="190" t="s">
        <v>416</v>
      </c>
      <c r="C782" s="190">
        <v>3151</v>
      </c>
      <c r="D782" s="190" t="s">
        <v>408</v>
      </c>
      <c r="E782" s="191">
        <v>750</v>
      </c>
      <c r="F782" s="191">
        <v>738.75</v>
      </c>
      <c r="G782" s="191">
        <v>738.75</v>
      </c>
      <c r="H782" s="191">
        <v>269.83</v>
      </c>
      <c r="I782" s="191">
        <v>646.45000000000005</v>
      </c>
      <c r="J782" s="191">
        <v>0</v>
      </c>
      <c r="K782" s="193">
        <v>1006.93</v>
      </c>
      <c r="L782" s="191">
        <v>718.53</v>
      </c>
      <c r="M782" s="193">
        <v>1647.6</v>
      </c>
      <c r="N782" s="191">
        <v>0</v>
      </c>
      <c r="O782" s="191">
        <v>632.76</v>
      </c>
      <c r="P782" s="191">
        <v>734.76</v>
      </c>
    </row>
    <row r="783" spans="1:16" x14ac:dyDescent="0.25">
      <c r="A783" s="190">
        <v>801010402</v>
      </c>
      <c r="B783" s="190" t="s">
        <v>417</v>
      </c>
      <c r="C783" s="190">
        <v>3151</v>
      </c>
      <c r="D783" s="190" t="s">
        <v>408</v>
      </c>
      <c r="E783" s="191">
        <v>750</v>
      </c>
      <c r="F783" s="191">
        <v>738.75</v>
      </c>
      <c r="G783" s="191">
        <v>738.75</v>
      </c>
      <c r="H783" s="191">
        <v>269.83</v>
      </c>
      <c r="I783" s="191">
        <v>346.45</v>
      </c>
      <c r="J783" s="191">
        <v>0</v>
      </c>
      <c r="K783" s="193">
        <v>1006.93</v>
      </c>
      <c r="L783" s="191">
        <v>718.53</v>
      </c>
      <c r="M783" s="193">
        <v>1647.6</v>
      </c>
      <c r="N783" s="191">
        <v>0</v>
      </c>
      <c r="O783" s="191">
        <v>632.76</v>
      </c>
      <c r="P783" s="191">
        <v>734.76</v>
      </c>
    </row>
    <row r="784" spans="1:16" x14ac:dyDescent="0.25">
      <c r="A784" s="190">
        <v>801010402</v>
      </c>
      <c r="B784" s="190" t="s">
        <v>419</v>
      </c>
      <c r="C784" s="190">
        <v>3151</v>
      </c>
      <c r="D784" s="190" t="s">
        <v>408</v>
      </c>
      <c r="E784" s="191">
        <v>650</v>
      </c>
      <c r="F784" s="191">
        <v>640.25</v>
      </c>
      <c r="G784" s="191">
        <v>640.25</v>
      </c>
      <c r="H784" s="191">
        <v>269.83</v>
      </c>
      <c r="I784" s="191">
        <v>346.45</v>
      </c>
      <c r="J784" s="191">
        <v>0</v>
      </c>
      <c r="K784" s="193">
        <v>1006.93</v>
      </c>
      <c r="L784" s="191">
        <v>718.53</v>
      </c>
      <c r="M784" s="193">
        <v>1647.6</v>
      </c>
      <c r="N784" s="191">
        <v>0</v>
      </c>
      <c r="O784" s="191">
        <v>632.76</v>
      </c>
      <c r="P784" s="191">
        <v>734.76</v>
      </c>
    </row>
    <row r="785" spans="1:16" x14ac:dyDescent="0.25">
      <c r="A785" s="190">
        <v>801010402</v>
      </c>
      <c r="B785" s="190" t="s">
        <v>420</v>
      </c>
      <c r="C785" s="190">
        <v>3151</v>
      </c>
      <c r="D785" s="190" t="s">
        <v>408</v>
      </c>
      <c r="E785" s="191">
        <v>750</v>
      </c>
      <c r="F785" s="191">
        <v>738.75</v>
      </c>
      <c r="G785" s="191">
        <v>738.75</v>
      </c>
      <c r="H785" s="191">
        <v>269.83</v>
      </c>
      <c r="I785" s="191">
        <v>346.45</v>
      </c>
      <c r="J785" s="191">
        <v>0</v>
      </c>
      <c r="K785" s="193">
        <v>1006.93</v>
      </c>
      <c r="L785" s="191">
        <v>718.53</v>
      </c>
      <c r="M785" s="193">
        <v>1647.6</v>
      </c>
      <c r="N785" s="191">
        <v>0</v>
      </c>
      <c r="O785" s="191">
        <v>632.76</v>
      </c>
      <c r="P785" s="191">
        <v>734.76</v>
      </c>
    </row>
    <row r="786" spans="1:16" x14ac:dyDescent="0.25">
      <c r="A786" s="190">
        <v>801010402</v>
      </c>
      <c r="B786" s="190" t="s">
        <v>421</v>
      </c>
      <c r="C786" s="190">
        <v>3151</v>
      </c>
      <c r="D786" s="190" t="s">
        <v>408</v>
      </c>
      <c r="E786" s="191">
        <v>750</v>
      </c>
      <c r="F786" s="191">
        <v>738.75</v>
      </c>
      <c r="G786" s="191">
        <v>738.75</v>
      </c>
      <c r="H786" s="191">
        <v>269.83</v>
      </c>
      <c r="I786" s="191">
        <v>346.45</v>
      </c>
      <c r="J786" s="191">
        <v>0</v>
      </c>
      <c r="K786" s="193">
        <v>1006.93</v>
      </c>
      <c r="L786" s="191">
        <v>718.53</v>
      </c>
      <c r="M786" s="193">
        <v>1647.6</v>
      </c>
      <c r="N786" s="191">
        <v>0</v>
      </c>
      <c r="O786" s="191">
        <v>632.76</v>
      </c>
      <c r="P786" s="191">
        <v>734.76</v>
      </c>
    </row>
    <row r="787" spans="1:16" x14ac:dyDescent="0.25">
      <c r="A787" s="190">
        <v>801010402</v>
      </c>
      <c r="B787" s="190" t="s">
        <v>422</v>
      </c>
      <c r="C787" s="190">
        <v>3151</v>
      </c>
      <c r="D787" s="190" t="s">
        <v>408</v>
      </c>
      <c r="E787" s="191">
        <v>750</v>
      </c>
      <c r="F787" s="191">
        <v>738.75</v>
      </c>
      <c r="G787" s="191">
        <v>738.75</v>
      </c>
      <c r="H787" s="191">
        <v>269.83</v>
      </c>
      <c r="I787" s="191">
        <v>646.45000000000005</v>
      </c>
      <c r="J787" s="191">
        <v>0</v>
      </c>
      <c r="K787" s="193">
        <v>1006.93</v>
      </c>
      <c r="L787" s="191">
        <v>718.53</v>
      </c>
      <c r="M787" s="193">
        <v>1647.6</v>
      </c>
      <c r="N787" s="191">
        <v>0</v>
      </c>
      <c r="O787" s="191">
        <v>632.76</v>
      </c>
      <c r="P787" s="191">
        <v>734.76</v>
      </c>
    </row>
    <row r="788" spans="1:16" x14ac:dyDescent="0.25">
      <c r="A788" s="190">
        <v>801010402</v>
      </c>
      <c r="B788" s="190" t="s">
        <v>423</v>
      </c>
      <c r="C788" s="190">
        <v>3151</v>
      </c>
      <c r="D788" s="190" t="s">
        <v>408</v>
      </c>
      <c r="E788" s="191">
        <v>750</v>
      </c>
      <c r="F788" s="191">
        <v>738.75</v>
      </c>
      <c r="G788" s="191">
        <v>738.75</v>
      </c>
      <c r="H788" s="191">
        <v>269.83</v>
      </c>
      <c r="I788" s="191">
        <v>346.45</v>
      </c>
      <c r="J788" s="191">
        <v>0</v>
      </c>
      <c r="K788" s="193">
        <v>1006.93</v>
      </c>
      <c r="L788" s="191">
        <v>718.53</v>
      </c>
      <c r="M788" s="193">
        <v>1647.6</v>
      </c>
      <c r="N788" s="191">
        <v>0</v>
      </c>
      <c r="O788" s="191">
        <v>632.76</v>
      </c>
      <c r="P788" s="191">
        <v>734.76</v>
      </c>
    </row>
    <row r="789" spans="1:16" x14ac:dyDescent="0.25">
      <c r="A789" s="190">
        <v>801010402</v>
      </c>
      <c r="B789" s="190" t="s">
        <v>424</v>
      </c>
      <c r="C789" s="190">
        <v>3151</v>
      </c>
      <c r="D789" s="190" t="s">
        <v>408</v>
      </c>
      <c r="E789" s="191">
        <v>650</v>
      </c>
      <c r="F789" s="191">
        <v>640.25</v>
      </c>
      <c r="G789" s="191">
        <v>640.25</v>
      </c>
      <c r="H789" s="191">
        <v>269.83</v>
      </c>
      <c r="I789" s="191">
        <v>646.45000000000005</v>
      </c>
      <c r="J789" s="191">
        <v>0</v>
      </c>
      <c r="K789" s="193">
        <v>1006.93</v>
      </c>
      <c r="L789" s="191">
        <v>718.53</v>
      </c>
      <c r="M789" s="193">
        <v>1647.6</v>
      </c>
      <c r="N789" s="191">
        <v>0</v>
      </c>
      <c r="O789" s="191">
        <v>632.76</v>
      </c>
      <c r="P789" s="191">
        <v>734.76</v>
      </c>
    </row>
    <row r="790" spans="1:16" x14ac:dyDescent="0.25">
      <c r="A790" s="190">
        <v>801010402</v>
      </c>
      <c r="B790" s="190" t="s">
        <v>425</v>
      </c>
      <c r="C790" s="190">
        <v>3151</v>
      </c>
      <c r="D790" s="190" t="s">
        <v>408</v>
      </c>
      <c r="E790" s="191">
        <v>650</v>
      </c>
      <c r="F790" s="191">
        <v>640.25</v>
      </c>
      <c r="G790" s="191">
        <v>640.25</v>
      </c>
      <c r="H790" s="191">
        <v>269.83</v>
      </c>
      <c r="I790" s="191">
        <v>346.45</v>
      </c>
      <c r="J790" s="191">
        <v>0</v>
      </c>
      <c r="K790" s="193">
        <v>1006.93</v>
      </c>
      <c r="L790" s="191">
        <v>718.53</v>
      </c>
      <c r="M790" s="193">
        <v>1647.6</v>
      </c>
      <c r="N790" s="191">
        <v>0</v>
      </c>
      <c r="O790" s="191">
        <v>632.76</v>
      </c>
      <c r="P790" s="191">
        <v>734.76</v>
      </c>
    </row>
    <row r="791" spans="1:16" x14ac:dyDescent="0.25">
      <c r="A791" s="190">
        <v>801010402</v>
      </c>
      <c r="B791" s="190" t="s">
        <v>426</v>
      </c>
      <c r="C791" s="190">
        <v>3151</v>
      </c>
      <c r="D791" s="190" t="s">
        <v>408</v>
      </c>
      <c r="E791" s="191">
        <v>650</v>
      </c>
      <c r="F791" s="191">
        <v>640.25</v>
      </c>
      <c r="G791" s="191">
        <v>640.25</v>
      </c>
      <c r="H791" s="191">
        <v>269.83</v>
      </c>
      <c r="I791" s="191">
        <v>346.45</v>
      </c>
      <c r="J791" s="191">
        <v>0</v>
      </c>
      <c r="K791" s="193">
        <v>1006.93</v>
      </c>
      <c r="L791" s="191">
        <v>718.53</v>
      </c>
      <c r="M791" s="193">
        <v>1647.6</v>
      </c>
      <c r="N791" s="191">
        <v>0</v>
      </c>
      <c r="O791" s="191">
        <v>632.76</v>
      </c>
      <c r="P791" s="191">
        <v>734.76</v>
      </c>
    </row>
    <row r="792" spans="1:16" x14ac:dyDescent="0.25">
      <c r="A792" s="190">
        <v>801010402</v>
      </c>
      <c r="B792" s="190" t="s">
        <v>427</v>
      </c>
      <c r="C792" s="190">
        <v>3151</v>
      </c>
      <c r="D792" s="190" t="s">
        <v>408</v>
      </c>
      <c r="E792" s="191">
        <v>650</v>
      </c>
      <c r="F792" s="191">
        <v>640.25</v>
      </c>
      <c r="G792" s="191">
        <v>640.25</v>
      </c>
      <c r="H792" s="191">
        <v>269.83</v>
      </c>
      <c r="I792" s="191">
        <v>646.45000000000005</v>
      </c>
      <c r="J792" s="191">
        <v>0</v>
      </c>
      <c r="K792" s="193">
        <v>1006.93</v>
      </c>
      <c r="L792" s="191">
        <v>718.53</v>
      </c>
      <c r="M792" s="193">
        <v>1647.6</v>
      </c>
      <c r="N792" s="191">
        <v>0</v>
      </c>
      <c r="O792" s="191">
        <v>632.76</v>
      </c>
      <c r="P792" s="191">
        <v>734.76</v>
      </c>
    </row>
    <row r="793" spans="1:16" x14ac:dyDescent="0.25">
      <c r="A793" s="190">
        <v>801010402</v>
      </c>
      <c r="B793" s="190" t="s">
        <v>428</v>
      </c>
      <c r="C793" s="190">
        <v>3151</v>
      </c>
      <c r="D793" s="190" t="s">
        <v>408</v>
      </c>
      <c r="E793" s="191">
        <v>750</v>
      </c>
      <c r="F793" s="191">
        <v>738.75</v>
      </c>
      <c r="G793" s="191">
        <v>738.75</v>
      </c>
      <c r="H793" s="191">
        <v>269.83</v>
      </c>
      <c r="I793" s="191">
        <v>346.45</v>
      </c>
      <c r="J793" s="191">
        <v>0</v>
      </c>
      <c r="K793" s="193">
        <v>1006.93</v>
      </c>
      <c r="L793" s="191">
        <v>718.53</v>
      </c>
      <c r="M793" s="193">
        <v>1647.6</v>
      </c>
      <c r="N793" s="191">
        <v>0</v>
      </c>
      <c r="O793" s="191">
        <v>632.76</v>
      </c>
      <c r="P793" s="191">
        <v>734.76</v>
      </c>
    </row>
    <row r="794" spans="1:16" x14ac:dyDescent="0.25">
      <c r="A794" s="190">
        <v>801010402</v>
      </c>
      <c r="B794" s="190" t="s">
        <v>429</v>
      </c>
      <c r="C794" s="190">
        <v>3151</v>
      </c>
      <c r="D794" s="190" t="s">
        <v>408</v>
      </c>
      <c r="E794" s="191">
        <v>650</v>
      </c>
      <c r="F794" s="191">
        <v>640.25</v>
      </c>
      <c r="G794" s="191">
        <v>640.25</v>
      </c>
      <c r="H794" s="191">
        <v>269.83</v>
      </c>
      <c r="I794" s="191">
        <v>346.45</v>
      </c>
      <c r="J794" s="191">
        <v>0</v>
      </c>
      <c r="K794" s="193">
        <v>1006.93</v>
      </c>
      <c r="L794" s="191">
        <v>718.53</v>
      </c>
      <c r="M794" s="193">
        <v>1647.6</v>
      </c>
      <c r="N794" s="191">
        <v>0</v>
      </c>
      <c r="O794" s="191">
        <v>632.76</v>
      </c>
      <c r="P794" s="191">
        <v>734.76</v>
      </c>
    </row>
    <row r="795" spans="1:16" x14ac:dyDescent="0.25">
      <c r="A795" s="190">
        <v>801010402</v>
      </c>
      <c r="B795" s="190" t="s">
        <v>430</v>
      </c>
      <c r="C795" s="190">
        <v>3151</v>
      </c>
      <c r="D795" s="190" t="s">
        <v>408</v>
      </c>
      <c r="E795" s="191">
        <v>342</v>
      </c>
      <c r="F795" s="191">
        <v>342</v>
      </c>
      <c r="G795" s="191">
        <v>342</v>
      </c>
      <c r="H795" s="191">
        <v>269.83</v>
      </c>
      <c r="I795" s="191">
        <v>346.45</v>
      </c>
      <c r="J795" s="191">
        <v>0</v>
      </c>
      <c r="K795" s="193">
        <v>1006.93</v>
      </c>
      <c r="L795" s="191">
        <v>718.53</v>
      </c>
      <c r="M795" s="193">
        <v>1647.6</v>
      </c>
      <c r="N795" s="191">
        <v>0</v>
      </c>
      <c r="O795" s="191">
        <v>632.76</v>
      </c>
      <c r="P795" s="191">
        <v>734.76</v>
      </c>
    </row>
    <row r="796" spans="1:16" x14ac:dyDescent="0.25">
      <c r="A796" s="190">
        <v>801010402</v>
      </c>
      <c r="B796" s="190" t="s">
        <v>431</v>
      </c>
      <c r="C796" s="190">
        <v>3151</v>
      </c>
      <c r="D796" s="190" t="s">
        <v>408</v>
      </c>
      <c r="E796" s="191">
        <v>650</v>
      </c>
      <c r="F796" s="191">
        <v>640.25</v>
      </c>
      <c r="G796" s="191">
        <v>640.25</v>
      </c>
      <c r="H796" s="191">
        <v>269.83</v>
      </c>
      <c r="I796" s="191">
        <v>346.45</v>
      </c>
      <c r="J796" s="191">
        <v>0</v>
      </c>
      <c r="K796" s="193">
        <v>1006.93</v>
      </c>
      <c r="L796" s="191">
        <v>718.53</v>
      </c>
      <c r="M796" s="193">
        <v>1647.6</v>
      </c>
      <c r="N796" s="191">
        <v>0</v>
      </c>
      <c r="O796" s="191">
        <v>632.76</v>
      </c>
      <c r="P796" s="191">
        <v>734.76</v>
      </c>
    </row>
    <row r="797" spans="1:16" x14ac:dyDescent="0.25">
      <c r="A797" s="190">
        <v>801010402</v>
      </c>
      <c r="B797" s="190" t="s">
        <v>432</v>
      </c>
      <c r="C797" s="190">
        <v>3151</v>
      </c>
      <c r="D797" s="190" t="s">
        <v>408</v>
      </c>
      <c r="E797" s="191">
        <v>650</v>
      </c>
      <c r="F797" s="191">
        <v>640.25</v>
      </c>
      <c r="G797" s="191">
        <v>640.25</v>
      </c>
      <c r="H797" s="191">
        <v>269.83</v>
      </c>
      <c r="I797" s="191">
        <v>646.45000000000005</v>
      </c>
      <c r="J797" s="191">
        <v>0</v>
      </c>
      <c r="K797" s="193">
        <v>1006.93</v>
      </c>
      <c r="L797" s="191">
        <v>718.53</v>
      </c>
      <c r="M797" s="193">
        <v>1647.6</v>
      </c>
      <c r="N797" s="191">
        <v>0</v>
      </c>
      <c r="O797" s="191">
        <v>632.76</v>
      </c>
      <c r="P797" s="191">
        <v>734.76</v>
      </c>
    </row>
    <row r="798" spans="1:16" x14ac:dyDescent="0.25">
      <c r="A798" s="190">
        <v>801010402</v>
      </c>
      <c r="B798" s="190" t="s">
        <v>433</v>
      </c>
      <c r="C798" s="190">
        <v>3151</v>
      </c>
      <c r="D798" s="190" t="s">
        <v>408</v>
      </c>
      <c r="E798" s="191">
        <v>750</v>
      </c>
      <c r="F798" s="191">
        <v>738.75</v>
      </c>
      <c r="G798" s="191">
        <v>738.75</v>
      </c>
      <c r="H798" s="191">
        <v>269.83</v>
      </c>
      <c r="I798" s="191">
        <v>646.45000000000005</v>
      </c>
      <c r="J798" s="191">
        <v>0</v>
      </c>
      <c r="K798" s="193">
        <v>1006.93</v>
      </c>
      <c r="L798" s="191">
        <v>718.53</v>
      </c>
      <c r="M798" s="193">
        <v>1647.6</v>
      </c>
      <c r="N798" s="191">
        <v>685</v>
      </c>
      <c r="O798" s="191">
        <v>632.76</v>
      </c>
      <c r="P798" s="191">
        <v>734.76</v>
      </c>
    </row>
    <row r="799" spans="1:16" x14ac:dyDescent="0.25">
      <c r="A799" s="190">
        <v>801010402</v>
      </c>
      <c r="B799" s="190" t="s">
        <v>434</v>
      </c>
      <c r="C799" s="190">
        <v>3151</v>
      </c>
      <c r="D799" s="190" t="s">
        <v>408</v>
      </c>
      <c r="E799" s="191">
        <v>650</v>
      </c>
      <c r="F799" s="191">
        <v>640.25</v>
      </c>
      <c r="G799" s="191">
        <v>640.25</v>
      </c>
      <c r="H799" s="191">
        <v>269.83</v>
      </c>
      <c r="I799" s="191">
        <v>346.45</v>
      </c>
      <c r="J799" s="191">
        <v>0</v>
      </c>
      <c r="K799" s="193">
        <v>1006.93</v>
      </c>
      <c r="L799" s="191">
        <v>718.53</v>
      </c>
      <c r="M799" s="193">
        <v>1647.6</v>
      </c>
      <c r="N799" s="191">
        <v>0</v>
      </c>
      <c r="O799" s="191">
        <v>632.76</v>
      </c>
      <c r="P799" s="191">
        <v>734.76</v>
      </c>
    </row>
    <row r="800" spans="1:16" x14ac:dyDescent="0.25">
      <c r="A800" s="190">
        <v>801010402</v>
      </c>
      <c r="B800" s="190" t="s">
        <v>435</v>
      </c>
      <c r="C800" s="190">
        <v>3151</v>
      </c>
      <c r="D800" s="190" t="s">
        <v>408</v>
      </c>
      <c r="E800" s="191">
        <v>342</v>
      </c>
      <c r="F800" s="191">
        <v>342</v>
      </c>
      <c r="G800" s="191">
        <v>342</v>
      </c>
      <c r="H800" s="191">
        <v>269.83</v>
      </c>
      <c r="I800" s="191">
        <v>346.45</v>
      </c>
      <c r="J800" s="191">
        <v>0</v>
      </c>
      <c r="K800" s="193">
        <v>1006.93</v>
      </c>
      <c r="L800" s="191">
        <v>718.53</v>
      </c>
      <c r="M800" s="193">
        <v>1647.6</v>
      </c>
      <c r="N800" s="191">
        <v>0</v>
      </c>
      <c r="O800" s="191">
        <v>632.76</v>
      </c>
      <c r="P800" s="191">
        <v>734.76</v>
      </c>
    </row>
    <row r="801" spans="1:16" x14ac:dyDescent="0.25">
      <c r="A801" s="190">
        <v>801010402</v>
      </c>
      <c r="B801" s="190" t="s">
        <v>436</v>
      </c>
      <c r="C801" s="190">
        <v>3151</v>
      </c>
      <c r="D801" s="190" t="s">
        <v>408</v>
      </c>
      <c r="E801" s="191">
        <v>750</v>
      </c>
      <c r="F801" s="191">
        <v>738.75</v>
      </c>
      <c r="G801" s="191">
        <v>738.75</v>
      </c>
      <c r="H801" s="191">
        <v>269.83</v>
      </c>
      <c r="I801" s="191">
        <v>346.45</v>
      </c>
      <c r="J801" s="191">
        <v>0</v>
      </c>
      <c r="K801" s="193">
        <v>1006.93</v>
      </c>
      <c r="L801" s="191">
        <v>718.53</v>
      </c>
      <c r="M801" s="193">
        <v>1647.6</v>
      </c>
      <c r="N801" s="191">
        <v>0</v>
      </c>
      <c r="O801" s="191">
        <v>632.76</v>
      </c>
      <c r="P801" s="191">
        <v>734.76</v>
      </c>
    </row>
    <row r="802" spans="1:16" x14ac:dyDescent="0.25">
      <c r="A802" s="190">
        <v>801010402</v>
      </c>
      <c r="B802" s="190" t="s">
        <v>437</v>
      </c>
      <c r="C802" s="190">
        <v>3151</v>
      </c>
      <c r="D802" s="190" t="s">
        <v>408</v>
      </c>
      <c r="E802" s="191">
        <v>0</v>
      </c>
      <c r="F802" s="191">
        <v>0</v>
      </c>
      <c r="G802" s="191">
        <v>0</v>
      </c>
      <c r="H802" s="191">
        <v>0</v>
      </c>
      <c r="I802" s="191">
        <v>346.45</v>
      </c>
      <c r="J802" s="191">
        <v>0</v>
      </c>
      <c r="K802" s="193">
        <v>1006.93</v>
      </c>
      <c r="L802" s="191">
        <v>718.53</v>
      </c>
      <c r="M802" s="193">
        <v>1647.6</v>
      </c>
      <c r="N802" s="191">
        <v>0</v>
      </c>
      <c r="O802" s="191">
        <v>632.76</v>
      </c>
      <c r="P802" s="191">
        <v>734.76</v>
      </c>
    </row>
    <row r="803" spans="1:16" x14ac:dyDescent="0.25">
      <c r="A803" s="190">
        <v>801010402</v>
      </c>
      <c r="B803" s="190" t="s">
        <v>407</v>
      </c>
      <c r="C803" s="190">
        <v>3162</v>
      </c>
      <c r="D803" s="190" t="s">
        <v>408</v>
      </c>
      <c r="E803" s="191">
        <v>0</v>
      </c>
      <c r="F803" s="191">
        <v>0</v>
      </c>
      <c r="G803" s="191">
        <v>0</v>
      </c>
      <c r="H803" s="191">
        <v>0</v>
      </c>
      <c r="I803" s="191">
        <v>0</v>
      </c>
      <c r="J803" s="191">
        <v>0</v>
      </c>
      <c r="K803" s="191">
        <v>0</v>
      </c>
      <c r="L803" s="191">
        <v>0</v>
      </c>
      <c r="M803" s="191">
        <v>0</v>
      </c>
      <c r="N803" s="191">
        <v>0</v>
      </c>
      <c r="O803" s="193">
        <v>523947.96</v>
      </c>
      <c r="P803" s="193">
        <v>135192</v>
      </c>
    </row>
    <row r="804" spans="1:16" x14ac:dyDescent="0.25">
      <c r="A804" s="190">
        <v>801010402</v>
      </c>
      <c r="B804" s="190" t="s">
        <v>407</v>
      </c>
      <c r="C804" s="190">
        <v>3171</v>
      </c>
      <c r="D804" s="190" t="s">
        <v>408</v>
      </c>
      <c r="E804" s="193">
        <v>28164.38</v>
      </c>
      <c r="F804" s="193">
        <v>28154.41</v>
      </c>
      <c r="G804" s="193">
        <v>56810.63</v>
      </c>
      <c r="H804" s="193">
        <v>16877.62</v>
      </c>
      <c r="I804" s="193">
        <v>26210.42</v>
      </c>
      <c r="J804" s="193">
        <v>25007.040000000001</v>
      </c>
      <c r="K804" s="193">
        <v>23026.82</v>
      </c>
      <c r="L804" s="193">
        <v>28865.73</v>
      </c>
      <c r="M804" s="193">
        <v>1253.2</v>
      </c>
      <c r="N804" s="191">
        <v>999.84</v>
      </c>
      <c r="O804" s="193">
        <v>31765.03</v>
      </c>
      <c r="P804" s="193">
        <v>31852.12</v>
      </c>
    </row>
    <row r="805" spans="1:16" x14ac:dyDescent="0.25">
      <c r="A805" s="190">
        <v>801010402</v>
      </c>
      <c r="B805" s="190" t="s">
        <v>415</v>
      </c>
      <c r="C805" s="190">
        <v>3171</v>
      </c>
      <c r="D805" s="190" t="s">
        <v>408</v>
      </c>
      <c r="E805" s="191">
        <v>400</v>
      </c>
      <c r="F805" s="191">
        <v>0</v>
      </c>
      <c r="G805" s="191">
        <v>400</v>
      </c>
      <c r="H805" s="193">
        <v>1200</v>
      </c>
      <c r="I805" s="191">
        <v>0</v>
      </c>
      <c r="J805" s="191">
        <v>0</v>
      </c>
      <c r="K805" s="191">
        <v>0</v>
      </c>
      <c r="L805" s="193">
        <v>1200</v>
      </c>
      <c r="M805" s="191">
        <v>0</v>
      </c>
      <c r="N805" s="191">
        <v>0</v>
      </c>
      <c r="O805" s="191">
        <v>0</v>
      </c>
      <c r="P805" s="191">
        <v>0</v>
      </c>
    </row>
    <row r="806" spans="1:16" x14ac:dyDescent="0.25">
      <c r="A806" s="190">
        <v>801010402</v>
      </c>
      <c r="B806" s="190" t="s">
        <v>419</v>
      </c>
      <c r="C806" s="190">
        <v>3171</v>
      </c>
      <c r="D806" s="190" t="s">
        <v>408</v>
      </c>
      <c r="E806" s="191">
        <v>0</v>
      </c>
      <c r="F806" s="191">
        <v>0</v>
      </c>
      <c r="G806" s="191">
        <v>0</v>
      </c>
      <c r="H806" s="191">
        <v>0</v>
      </c>
      <c r="I806" s="191">
        <v>0</v>
      </c>
      <c r="J806" s="191">
        <v>300</v>
      </c>
      <c r="K806" s="191">
        <v>0</v>
      </c>
      <c r="L806" s="191">
        <v>793.66</v>
      </c>
      <c r="M806" s="191">
        <v>0</v>
      </c>
      <c r="N806" s="191">
        <v>0</v>
      </c>
      <c r="O806" s="191">
        <v>0</v>
      </c>
      <c r="P806" s="191">
        <v>0</v>
      </c>
    </row>
    <row r="807" spans="1:16" x14ac:dyDescent="0.25">
      <c r="A807" s="190">
        <v>801010402</v>
      </c>
      <c r="B807" s="190" t="s">
        <v>423</v>
      </c>
      <c r="C807" s="190">
        <v>3171</v>
      </c>
      <c r="D807" s="190" t="s">
        <v>408</v>
      </c>
      <c r="E807" s="191">
        <v>0</v>
      </c>
      <c r="F807" s="191">
        <v>0</v>
      </c>
      <c r="G807" s="191">
        <v>0</v>
      </c>
      <c r="H807" s="191">
        <v>0</v>
      </c>
      <c r="I807" s="191">
        <v>0</v>
      </c>
      <c r="J807" s="191">
        <v>300</v>
      </c>
      <c r="K807" s="191">
        <v>0</v>
      </c>
      <c r="L807" s="191">
        <v>0</v>
      </c>
      <c r="M807" s="191">
        <v>0</v>
      </c>
      <c r="N807" s="191">
        <v>0</v>
      </c>
      <c r="O807" s="191">
        <v>0</v>
      </c>
      <c r="P807" s="191">
        <v>0</v>
      </c>
    </row>
    <row r="808" spans="1:16" x14ac:dyDescent="0.25">
      <c r="A808" s="190">
        <v>801010402</v>
      </c>
      <c r="B808" s="190" t="s">
        <v>425</v>
      </c>
      <c r="C808" s="190">
        <v>3171</v>
      </c>
      <c r="D808" s="190" t="s">
        <v>408</v>
      </c>
      <c r="E808" s="191">
        <v>0</v>
      </c>
      <c r="F808" s="191">
        <v>0</v>
      </c>
      <c r="G808" s="191">
        <v>0</v>
      </c>
      <c r="H808" s="191">
        <v>0</v>
      </c>
      <c r="I808" s="191">
        <v>0</v>
      </c>
      <c r="J808" s="191">
        <v>300</v>
      </c>
      <c r="K808" s="191">
        <v>0</v>
      </c>
      <c r="L808" s="191">
        <v>0</v>
      </c>
      <c r="M808" s="191">
        <v>0</v>
      </c>
      <c r="N808" s="191">
        <v>0</v>
      </c>
      <c r="O808" s="191">
        <v>0</v>
      </c>
      <c r="P808" s="191">
        <v>0</v>
      </c>
    </row>
    <row r="809" spans="1:16" x14ac:dyDescent="0.25">
      <c r="A809" s="190">
        <v>801010402</v>
      </c>
      <c r="B809" s="190" t="s">
        <v>429</v>
      </c>
      <c r="C809" s="190">
        <v>3171</v>
      </c>
      <c r="D809" s="190" t="s">
        <v>408</v>
      </c>
      <c r="E809" s="191">
        <v>0</v>
      </c>
      <c r="F809" s="191">
        <v>0</v>
      </c>
      <c r="G809" s="191">
        <v>0</v>
      </c>
      <c r="H809" s="191">
        <v>0</v>
      </c>
      <c r="I809" s="191">
        <v>0</v>
      </c>
      <c r="J809" s="191">
        <v>0</v>
      </c>
      <c r="K809" s="191">
        <v>0</v>
      </c>
      <c r="L809" s="191">
        <v>0</v>
      </c>
      <c r="M809" s="191">
        <v>0</v>
      </c>
      <c r="N809" s="193">
        <v>2500</v>
      </c>
      <c r="O809" s="191">
        <v>0</v>
      </c>
      <c r="P809" s="193">
        <v>1276</v>
      </c>
    </row>
    <row r="810" spans="1:16" x14ac:dyDescent="0.25">
      <c r="A810" s="190">
        <v>801010402</v>
      </c>
      <c r="B810" s="190" t="s">
        <v>430</v>
      </c>
      <c r="C810" s="190">
        <v>3171</v>
      </c>
      <c r="D810" s="190" t="s">
        <v>408</v>
      </c>
      <c r="E810" s="191">
        <v>0</v>
      </c>
      <c r="F810" s="191">
        <v>0</v>
      </c>
      <c r="G810" s="191">
        <v>0</v>
      </c>
      <c r="H810" s="191">
        <v>0</v>
      </c>
      <c r="I810" s="191">
        <v>0</v>
      </c>
      <c r="J810" s="191">
        <v>0</v>
      </c>
      <c r="K810" s="191">
        <v>0</v>
      </c>
      <c r="L810" s="193">
        <v>2088</v>
      </c>
      <c r="M810" s="191">
        <v>0</v>
      </c>
      <c r="N810" s="193">
        <v>1044</v>
      </c>
      <c r="O810" s="191">
        <v>0</v>
      </c>
      <c r="P810" s="193">
        <v>1044</v>
      </c>
    </row>
    <row r="811" spans="1:16" x14ac:dyDescent="0.25">
      <c r="A811" s="190">
        <v>801010402</v>
      </c>
      <c r="B811" s="190" t="s">
        <v>431</v>
      </c>
      <c r="C811" s="190">
        <v>3171</v>
      </c>
      <c r="D811" s="190" t="s">
        <v>408</v>
      </c>
      <c r="E811" s="191">
        <v>0</v>
      </c>
      <c r="F811" s="191">
        <v>0</v>
      </c>
      <c r="G811" s="191">
        <v>0</v>
      </c>
      <c r="H811" s="191">
        <v>0</v>
      </c>
      <c r="I811" s="191">
        <v>0</v>
      </c>
      <c r="J811" s="191">
        <v>0</v>
      </c>
      <c r="K811" s="191">
        <v>0</v>
      </c>
      <c r="L811" s="191">
        <v>514</v>
      </c>
      <c r="M811" s="191">
        <v>0</v>
      </c>
      <c r="N811" s="191">
        <v>0</v>
      </c>
      <c r="O811" s="191">
        <v>0</v>
      </c>
      <c r="P811" s="191">
        <v>0</v>
      </c>
    </row>
    <row r="812" spans="1:16" x14ac:dyDescent="0.25">
      <c r="A812" s="190">
        <v>801010402</v>
      </c>
      <c r="B812" s="190" t="s">
        <v>432</v>
      </c>
      <c r="C812" s="190">
        <v>3171</v>
      </c>
      <c r="D812" s="190" t="s">
        <v>408</v>
      </c>
      <c r="E812" s="191">
        <v>0</v>
      </c>
      <c r="F812" s="191">
        <v>0</v>
      </c>
      <c r="G812" s="191">
        <v>0</v>
      </c>
      <c r="H812" s="191">
        <v>0</v>
      </c>
      <c r="I812" s="191">
        <v>0</v>
      </c>
      <c r="J812" s="191">
        <v>0</v>
      </c>
      <c r="K812" s="191">
        <v>0</v>
      </c>
      <c r="L812" s="191">
        <v>978</v>
      </c>
      <c r="M812" s="191">
        <v>0</v>
      </c>
      <c r="N812" s="191">
        <v>0</v>
      </c>
      <c r="O812" s="191">
        <v>0</v>
      </c>
      <c r="P812" s="191">
        <v>0</v>
      </c>
    </row>
    <row r="813" spans="1:16" x14ac:dyDescent="0.25">
      <c r="A813" s="190">
        <v>801010402</v>
      </c>
      <c r="B813" s="190" t="s">
        <v>407</v>
      </c>
      <c r="C813" s="190">
        <v>3181</v>
      </c>
      <c r="D813" s="190" t="s">
        <v>409</v>
      </c>
      <c r="E813" s="191">
        <v>0</v>
      </c>
      <c r="F813" s="191">
        <v>0</v>
      </c>
      <c r="G813" s="191">
        <v>0</v>
      </c>
      <c r="H813" s="191">
        <v>0</v>
      </c>
      <c r="I813" s="191">
        <v>0</v>
      </c>
      <c r="J813" s="191">
        <v>0</v>
      </c>
      <c r="K813" s="191">
        <v>0</v>
      </c>
      <c r="L813" s="191">
        <v>0</v>
      </c>
      <c r="M813" s="193">
        <v>2960.61</v>
      </c>
      <c r="N813" s="191">
        <v>0</v>
      </c>
      <c r="O813" s="191">
        <v>0</v>
      </c>
      <c r="P813" s="191">
        <v>0</v>
      </c>
    </row>
    <row r="814" spans="1:16" x14ac:dyDescent="0.25">
      <c r="A814" s="190">
        <v>801010402</v>
      </c>
      <c r="B814" s="190" t="s">
        <v>436</v>
      </c>
      <c r="C814" s="190">
        <v>3221</v>
      </c>
      <c r="D814" s="190" t="s">
        <v>408</v>
      </c>
      <c r="E814" s="191">
        <v>0</v>
      </c>
      <c r="F814" s="191">
        <v>0</v>
      </c>
      <c r="G814" s="191">
        <v>0</v>
      </c>
      <c r="H814" s="191">
        <v>0</v>
      </c>
      <c r="I814" s="191">
        <v>0</v>
      </c>
      <c r="J814" s="191">
        <v>0</v>
      </c>
      <c r="K814" s="191">
        <v>0</v>
      </c>
      <c r="L814" s="191">
        <v>0</v>
      </c>
      <c r="M814" s="191">
        <v>0</v>
      </c>
      <c r="N814" s="191">
        <v>0</v>
      </c>
      <c r="O814" s="193">
        <v>23200</v>
      </c>
      <c r="P814" s="193">
        <v>23200</v>
      </c>
    </row>
    <row r="815" spans="1:16" x14ac:dyDescent="0.25">
      <c r="A815" s="190">
        <v>801010402</v>
      </c>
      <c r="B815" s="190" t="s">
        <v>407</v>
      </c>
      <c r="C815" s="190">
        <v>3251</v>
      </c>
      <c r="D815" s="190" t="s">
        <v>408</v>
      </c>
      <c r="E815" s="191">
        <v>0</v>
      </c>
      <c r="F815" s="191">
        <v>0</v>
      </c>
      <c r="G815" s="191">
        <v>0</v>
      </c>
      <c r="H815" s="193">
        <v>3600</v>
      </c>
      <c r="I815" s="191">
        <v>0</v>
      </c>
      <c r="J815" s="193">
        <v>3400</v>
      </c>
      <c r="K815" s="193">
        <v>4000</v>
      </c>
      <c r="L815" s="191">
        <v>0</v>
      </c>
      <c r="M815" s="191">
        <v>0</v>
      </c>
      <c r="N815" s="191">
        <v>0</v>
      </c>
      <c r="O815" s="191">
        <v>0</v>
      </c>
      <c r="P815" s="191">
        <v>0</v>
      </c>
    </row>
    <row r="816" spans="1:16" x14ac:dyDescent="0.25">
      <c r="A816" s="190">
        <v>801010402</v>
      </c>
      <c r="B816" s="190" t="s">
        <v>410</v>
      </c>
      <c r="C816" s="190">
        <v>3251</v>
      </c>
      <c r="D816" s="190" t="s">
        <v>408</v>
      </c>
      <c r="E816" s="191">
        <v>0</v>
      </c>
      <c r="F816" s="191">
        <v>0</v>
      </c>
      <c r="G816" s="191">
        <v>0</v>
      </c>
      <c r="H816" s="191">
        <v>0</v>
      </c>
      <c r="I816" s="191">
        <v>0</v>
      </c>
      <c r="J816" s="193">
        <v>2000</v>
      </c>
      <c r="K816" s="191">
        <v>0</v>
      </c>
      <c r="L816" s="191">
        <v>0</v>
      </c>
      <c r="M816" s="191">
        <v>0</v>
      </c>
      <c r="N816" s="193">
        <v>2000</v>
      </c>
      <c r="O816" s="191">
        <v>0</v>
      </c>
      <c r="P816" s="191">
        <v>0</v>
      </c>
    </row>
    <row r="817" spans="1:16" x14ac:dyDescent="0.25">
      <c r="A817" s="190">
        <v>801010402</v>
      </c>
      <c r="B817" s="190" t="s">
        <v>411</v>
      </c>
      <c r="C817" s="190">
        <v>3251</v>
      </c>
      <c r="D817" s="190" t="s">
        <v>408</v>
      </c>
      <c r="E817" s="191">
        <v>0</v>
      </c>
      <c r="F817" s="191">
        <v>0</v>
      </c>
      <c r="G817" s="191">
        <v>0</v>
      </c>
      <c r="H817" s="191">
        <v>0</v>
      </c>
      <c r="I817" s="191">
        <v>0</v>
      </c>
      <c r="J817" s="191">
        <v>0</v>
      </c>
      <c r="K817" s="191">
        <v>0</v>
      </c>
      <c r="L817" s="191">
        <v>0</v>
      </c>
      <c r="M817" s="191">
        <v>0</v>
      </c>
      <c r="N817" s="193">
        <v>7000</v>
      </c>
      <c r="O817" s="191">
        <v>0</v>
      </c>
      <c r="P817" s="191">
        <v>0</v>
      </c>
    </row>
    <row r="818" spans="1:16" x14ac:dyDescent="0.25">
      <c r="A818" s="190">
        <v>801010402</v>
      </c>
      <c r="B818" s="190" t="s">
        <v>412</v>
      </c>
      <c r="C818" s="190">
        <v>3251</v>
      </c>
      <c r="D818" s="190" t="s">
        <v>408</v>
      </c>
      <c r="E818" s="191">
        <v>0</v>
      </c>
      <c r="F818" s="191">
        <v>0</v>
      </c>
      <c r="G818" s="191">
        <v>0</v>
      </c>
      <c r="H818" s="193">
        <v>11991.12</v>
      </c>
      <c r="I818" s="191">
        <v>0</v>
      </c>
      <c r="J818" s="193">
        <v>33100</v>
      </c>
      <c r="K818" s="191">
        <v>0</v>
      </c>
      <c r="L818" s="193">
        <v>27380</v>
      </c>
      <c r="M818" s="191">
        <v>0</v>
      </c>
      <c r="N818" s="193">
        <v>6984</v>
      </c>
      <c r="O818" s="191">
        <v>0</v>
      </c>
      <c r="P818" s="191">
        <v>0</v>
      </c>
    </row>
    <row r="819" spans="1:16" x14ac:dyDescent="0.25">
      <c r="A819" s="190">
        <v>801010402</v>
      </c>
      <c r="B819" s="190" t="s">
        <v>413</v>
      </c>
      <c r="C819" s="190">
        <v>3251</v>
      </c>
      <c r="D819" s="190" t="s">
        <v>408</v>
      </c>
      <c r="E819" s="191">
        <v>0</v>
      </c>
      <c r="F819" s="191">
        <v>0</v>
      </c>
      <c r="G819" s="191">
        <v>0</v>
      </c>
      <c r="H819" s="191">
        <v>0</v>
      </c>
      <c r="I819" s="191">
        <v>0</v>
      </c>
      <c r="J819" s="193">
        <v>5500</v>
      </c>
      <c r="K819" s="191">
        <v>0</v>
      </c>
      <c r="L819" s="191">
        <v>0</v>
      </c>
      <c r="M819" s="191">
        <v>0</v>
      </c>
      <c r="N819" s="193">
        <v>4500</v>
      </c>
      <c r="O819" s="191">
        <v>0</v>
      </c>
      <c r="P819" s="191">
        <v>0</v>
      </c>
    </row>
    <row r="820" spans="1:16" x14ac:dyDescent="0.25">
      <c r="A820" s="190">
        <v>801010402</v>
      </c>
      <c r="B820" s="190" t="s">
        <v>414</v>
      </c>
      <c r="C820" s="190">
        <v>3251</v>
      </c>
      <c r="D820" s="190" t="s">
        <v>408</v>
      </c>
      <c r="E820" s="191">
        <v>0</v>
      </c>
      <c r="F820" s="191">
        <v>0</v>
      </c>
      <c r="G820" s="191">
        <v>0</v>
      </c>
      <c r="H820" s="191">
        <v>0</v>
      </c>
      <c r="I820" s="191">
        <v>0</v>
      </c>
      <c r="J820" s="191">
        <v>0</v>
      </c>
      <c r="K820" s="191">
        <v>0</v>
      </c>
      <c r="L820" s="191">
        <v>0</v>
      </c>
      <c r="M820" s="191">
        <v>0</v>
      </c>
      <c r="N820" s="191">
        <v>0</v>
      </c>
      <c r="O820" s="191">
        <v>600</v>
      </c>
      <c r="P820" s="191">
        <v>0</v>
      </c>
    </row>
    <row r="821" spans="1:16" x14ac:dyDescent="0.25">
      <c r="A821" s="190">
        <v>801010402</v>
      </c>
      <c r="B821" s="190" t="s">
        <v>415</v>
      </c>
      <c r="C821" s="190">
        <v>3251</v>
      </c>
      <c r="D821" s="190" t="s">
        <v>408</v>
      </c>
      <c r="E821" s="191">
        <v>0</v>
      </c>
      <c r="F821" s="191">
        <v>0</v>
      </c>
      <c r="G821" s="191">
        <v>0</v>
      </c>
      <c r="H821" s="191">
        <v>0</v>
      </c>
      <c r="I821" s="191">
        <v>0</v>
      </c>
      <c r="J821" s="193">
        <v>7000</v>
      </c>
      <c r="K821" s="191">
        <v>0</v>
      </c>
      <c r="L821" s="191">
        <v>0</v>
      </c>
      <c r="M821" s="191">
        <v>0</v>
      </c>
      <c r="N821" s="191">
        <v>0</v>
      </c>
      <c r="O821" s="191">
        <v>0</v>
      </c>
      <c r="P821" s="193">
        <v>6000</v>
      </c>
    </row>
    <row r="822" spans="1:16" x14ac:dyDescent="0.25">
      <c r="A822" s="190">
        <v>801010402</v>
      </c>
      <c r="B822" s="190" t="s">
        <v>416</v>
      </c>
      <c r="C822" s="190">
        <v>3251</v>
      </c>
      <c r="D822" s="190" t="s">
        <v>408</v>
      </c>
      <c r="E822" s="191">
        <v>0</v>
      </c>
      <c r="F822" s="191">
        <v>0</v>
      </c>
      <c r="G822" s="191">
        <v>0</v>
      </c>
      <c r="H822" s="193">
        <v>2550</v>
      </c>
      <c r="I822" s="191">
        <v>0</v>
      </c>
      <c r="J822" s="193">
        <v>2000</v>
      </c>
      <c r="K822" s="191">
        <v>0</v>
      </c>
      <c r="L822" s="191">
        <v>0</v>
      </c>
      <c r="M822" s="191">
        <v>0</v>
      </c>
      <c r="N822" s="191">
        <v>0</v>
      </c>
      <c r="O822" s="191">
        <v>0</v>
      </c>
      <c r="P822" s="191">
        <v>0</v>
      </c>
    </row>
    <row r="823" spans="1:16" x14ac:dyDescent="0.25">
      <c r="A823" s="190">
        <v>801010402</v>
      </c>
      <c r="B823" s="190" t="s">
        <v>417</v>
      </c>
      <c r="C823" s="190">
        <v>3251</v>
      </c>
      <c r="D823" s="190" t="s">
        <v>408</v>
      </c>
      <c r="E823" s="191">
        <v>0</v>
      </c>
      <c r="F823" s="191">
        <v>0</v>
      </c>
      <c r="G823" s="191">
        <v>0</v>
      </c>
      <c r="H823" s="193">
        <v>5259.9</v>
      </c>
      <c r="I823" s="191">
        <v>0</v>
      </c>
      <c r="J823" s="193">
        <v>3000</v>
      </c>
      <c r="K823" s="191">
        <v>0</v>
      </c>
      <c r="L823" s="191">
        <v>0</v>
      </c>
      <c r="M823" s="191">
        <v>0</v>
      </c>
      <c r="N823" s="191">
        <v>0</v>
      </c>
      <c r="O823" s="191">
        <v>0</v>
      </c>
      <c r="P823" s="191">
        <v>0</v>
      </c>
    </row>
    <row r="824" spans="1:16" x14ac:dyDescent="0.25">
      <c r="A824" s="190">
        <v>801010402</v>
      </c>
      <c r="B824" s="190" t="s">
        <v>419</v>
      </c>
      <c r="C824" s="190">
        <v>3251</v>
      </c>
      <c r="D824" s="190" t="s">
        <v>408</v>
      </c>
      <c r="E824" s="191">
        <v>0</v>
      </c>
      <c r="F824" s="191">
        <v>0</v>
      </c>
      <c r="G824" s="191">
        <v>0</v>
      </c>
      <c r="H824" s="193">
        <v>3900</v>
      </c>
      <c r="I824" s="191">
        <v>0</v>
      </c>
      <c r="J824" s="193">
        <v>2700</v>
      </c>
      <c r="K824" s="191">
        <v>0</v>
      </c>
      <c r="L824" s="191">
        <v>684.4</v>
      </c>
      <c r="M824" s="191">
        <v>0</v>
      </c>
      <c r="N824" s="191">
        <v>0</v>
      </c>
      <c r="O824" s="191">
        <v>0</v>
      </c>
      <c r="P824" s="191">
        <v>0</v>
      </c>
    </row>
    <row r="825" spans="1:16" x14ac:dyDescent="0.25">
      <c r="A825" s="190">
        <v>801010402</v>
      </c>
      <c r="B825" s="190" t="s">
        <v>420</v>
      </c>
      <c r="C825" s="190">
        <v>3251</v>
      </c>
      <c r="D825" s="190" t="s">
        <v>408</v>
      </c>
      <c r="E825" s="191">
        <v>0</v>
      </c>
      <c r="F825" s="191">
        <v>0</v>
      </c>
      <c r="G825" s="191">
        <v>0</v>
      </c>
      <c r="H825" s="193">
        <v>3016</v>
      </c>
      <c r="I825" s="191">
        <v>0</v>
      </c>
      <c r="J825" s="193">
        <v>2000</v>
      </c>
      <c r="K825" s="191">
        <v>0</v>
      </c>
      <c r="L825" s="191">
        <v>0</v>
      </c>
      <c r="M825" s="191">
        <v>0</v>
      </c>
      <c r="N825" s="191">
        <v>0</v>
      </c>
      <c r="O825" s="191">
        <v>0</v>
      </c>
      <c r="P825" s="191">
        <v>0</v>
      </c>
    </row>
    <row r="826" spans="1:16" x14ac:dyDescent="0.25">
      <c r="A826" s="190">
        <v>801010402</v>
      </c>
      <c r="B826" s="190" t="s">
        <v>421</v>
      </c>
      <c r="C826" s="190">
        <v>3251</v>
      </c>
      <c r="D826" s="190" t="s">
        <v>408</v>
      </c>
      <c r="E826" s="191">
        <v>0</v>
      </c>
      <c r="F826" s="191">
        <v>0</v>
      </c>
      <c r="G826" s="191">
        <v>0</v>
      </c>
      <c r="H826" s="191">
        <v>0</v>
      </c>
      <c r="I826" s="191">
        <v>0</v>
      </c>
      <c r="J826" s="193">
        <v>41400</v>
      </c>
      <c r="K826" s="191">
        <v>0</v>
      </c>
      <c r="L826" s="193">
        <v>5000</v>
      </c>
      <c r="M826" s="191">
        <v>0</v>
      </c>
      <c r="N826" s="191">
        <v>0</v>
      </c>
      <c r="O826" s="191">
        <v>0</v>
      </c>
      <c r="P826" s="191">
        <v>0</v>
      </c>
    </row>
    <row r="827" spans="1:16" x14ac:dyDescent="0.25">
      <c r="A827" s="190">
        <v>801010402</v>
      </c>
      <c r="B827" s="190" t="s">
        <v>422</v>
      </c>
      <c r="C827" s="190">
        <v>3251</v>
      </c>
      <c r="D827" s="190" t="s">
        <v>408</v>
      </c>
      <c r="E827" s="191">
        <v>0</v>
      </c>
      <c r="F827" s="191">
        <v>0</v>
      </c>
      <c r="G827" s="191">
        <v>0</v>
      </c>
      <c r="H827" s="193">
        <v>3000</v>
      </c>
      <c r="I827" s="191">
        <v>0</v>
      </c>
      <c r="J827" s="193">
        <v>3500</v>
      </c>
      <c r="K827" s="191">
        <v>0</v>
      </c>
      <c r="L827" s="191">
        <v>0</v>
      </c>
      <c r="M827" s="191">
        <v>0</v>
      </c>
      <c r="N827" s="191">
        <v>0</v>
      </c>
      <c r="O827" s="191">
        <v>0</v>
      </c>
      <c r="P827" s="191">
        <v>0</v>
      </c>
    </row>
    <row r="828" spans="1:16" x14ac:dyDescent="0.25">
      <c r="A828" s="190">
        <v>801010402</v>
      </c>
      <c r="B828" s="190" t="s">
        <v>423</v>
      </c>
      <c r="C828" s="190">
        <v>3251</v>
      </c>
      <c r="D828" s="190" t="s">
        <v>408</v>
      </c>
      <c r="E828" s="191">
        <v>0</v>
      </c>
      <c r="F828" s="191">
        <v>0</v>
      </c>
      <c r="G828" s="191">
        <v>0</v>
      </c>
      <c r="H828" s="191">
        <v>0</v>
      </c>
      <c r="I828" s="191">
        <v>0</v>
      </c>
      <c r="J828" s="193">
        <v>4000</v>
      </c>
      <c r="K828" s="191">
        <v>0</v>
      </c>
      <c r="L828" s="193">
        <v>3500</v>
      </c>
      <c r="M828" s="191">
        <v>0</v>
      </c>
      <c r="N828" s="191">
        <v>0</v>
      </c>
      <c r="O828" s="191">
        <v>0</v>
      </c>
      <c r="P828" s="191">
        <v>0</v>
      </c>
    </row>
    <row r="829" spans="1:16" x14ac:dyDescent="0.25">
      <c r="A829" s="190">
        <v>801010402</v>
      </c>
      <c r="B829" s="190" t="s">
        <v>424</v>
      </c>
      <c r="C829" s="190">
        <v>3251</v>
      </c>
      <c r="D829" s="190" t="s">
        <v>408</v>
      </c>
      <c r="E829" s="191">
        <v>0</v>
      </c>
      <c r="F829" s="191">
        <v>0</v>
      </c>
      <c r="G829" s="191">
        <v>0</v>
      </c>
      <c r="H829" s="191">
        <v>0</v>
      </c>
      <c r="I829" s="191">
        <v>0</v>
      </c>
      <c r="J829" s="193">
        <v>2200</v>
      </c>
      <c r="K829" s="191">
        <v>0</v>
      </c>
      <c r="L829" s="191">
        <v>0</v>
      </c>
      <c r="M829" s="191">
        <v>0</v>
      </c>
      <c r="N829" s="191">
        <v>0</v>
      </c>
      <c r="O829" s="191">
        <v>0</v>
      </c>
      <c r="P829" s="191">
        <v>0</v>
      </c>
    </row>
    <row r="830" spans="1:16" x14ac:dyDescent="0.25">
      <c r="A830" s="190">
        <v>801010402</v>
      </c>
      <c r="B830" s="190" t="s">
        <v>425</v>
      </c>
      <c r="C830" s="190">
        <v>3251</v>
      </c>
      <c r="D830" s="190" t="s">
        <v>408</v>
      </c>
      <c r="E830" s="191">
        <v>0</v>
      </c>
      <c r="F830" s="191">
        <v>0</v>
      </c>
      <c r="G830" s="191">
        <v>0</v>
      </c>
      <c r="H830" s="191">
        <v>0</v>
      </c>
      <c r="I830" s="191">
        <v>0</v>
      </c>
      <c r="J830" s="193">
        <v>9000</v>
      </c>
      <c r="K830" s="191">
        <v>0</v>
      </c>
      <c r="L830" s="191">
        <v>0</v>
      </c>
      <c r="M830" s="191">
        <v>0</v>
      </c>
      <c r="N830" s="191">
        <v>0</v>
      </c>
      <c r="O830" s="193">
        <v>3200</v>
      </c>
      <c r="P830" s="191">
        <v>0</v>
      </c>
    </row>
    <row r="831" spans="1:16" x14ac:dyDescent="0.25">
      <c r="A831" s="190">
        <v>801010402</v>
      </c>
      <c r="B831" s="190" t="s">
        <v>426</v>
      </c>
      <c r="C831" s="190">
        <v>3251</v>
      </c>
      <c r="D831" s="190" t="s">
        <v>408</v>
      </c>
      <c r="E831" s="191">
        <v>0</v>
      </c>
      <c r="F831" s="191">
        <v>0</v>
      </c>
      <c r="G831" s="191">
        <v>0</v>
      </c>
      <c r="H831" s="193">
        <v>3000</v>
      </c>
      <c r="I831" s="191">
        <v>0</v>
      </c>
      <c r="J831" s="193">
        <v>2700</v>
      </c>
      <c r="K831" s="191">
        <v>0</v>
      </c>
      <c r="L831" s="191">
        <v>0</v>
      </c>
      <c r="M831" s="191">
        <v>0</v>
      </c>
      <c r="N831" s="191">
        <v>0</v>
      </c>
      <c r="O831" s="191">
        <v>0</v>
      </c>
      <c r="P831" s="191">
        <v>0</v>
      </c>
    </row>
    <row r="832" spans="1:16" x14ac:dyDescent="0.25">
      <c r="A832" s="190">
        <v>801010402</v>
      </c>
      <c r="B832" s="190" t="s">
        <v>427</v>
      </c>
      <c r="C832" s="190">
        <v>3251</v>
      </c>
      <c r="D832" s="190" t="s">
        <v>408</v>
      </c>
      <c r="E832" s="191">
        <v>0</v>
      </c>
      <c r="F832" s="191">
        <v>0</v>
      </c>
      <c r="G832" s="191">
        <v>0</v>
      </c>
      <c r="H832" s="193">
        <v>5220</v>
      </c>
      <c r="I832" s="191">
        <v>0</v>
      </c>
      <c r="J832" s="193">
        <v>9000</v>
      </c>
      <c r="K832" s="191">
        <v>0</v>
      </c>
      <c r="L832" s="193">
        <v>5000</v>
      </c>
      <c r="M832" s="191">
        <v>0</v>
      </c>
      <c r="N832" s="191">
        <v>0</v>
      </c>
      <c r="O832" s="191">
        <v>0</v>
      </c>
      <c r="P832" s="191">
        <v>0</v>
      </c>
    </row>
    <row r="833" spans="1:16" x14ac:dyDescent="0.25">
      <c r="A833" s="190">
        <v>801010402</v>
      </c>
      <c r="B833" s="190" t="s">
        <v>428</v>
      </c>
      <c r="C833" s="190">
        <v>3251</v>
      </c>
      <c r="D833" s="190" t="s">
        <v>408</v>
      </c>
      <c r="E833" s="191">
        <v>0</v>
      </c>
      <c r="F833" s="191">
        <v>0</v>
      </c>
      <c r="G833" s="191">
        <v>0</v>
      </c>
      <c r="H833" s="191">
        <v>0</v>
      </c>
      <c r="I833" s="191">
        <v>0</v>
      </c>
      <c r="J833" s="193">
        <v>8000</v>
      </c>
      <c r="K833" s="191">
        <v>0</v>
      </c>
      <c r="L833" s="191">
        <v>0</v>
      </c>
      <c r="M833" s="191">
        <v>0</v>
      </c>
      <c r="N833" s="191">
        <v>0</v>
      </c>
      <c r="O833" s="191">
        <v>0</v>
      </c>
      <c r="P833" s="191">
        <v>0</v>
      </c>
    </row>
    <row r="834" spans="1:16" x14ac:dyDescent="0.25">
      <c r="A834" s="190">
        <v>801010402</v>
      </c>
      <c r="B834" s="190" t="s">
        <v>429</v>
      </c>
      <c r="C834" s="190">
        <v>3251</v>
      </c>
      <c r="D834" s="190" t="s">
        <v>408</v>
      </c>
      <c r="E834" s="191">
        <v>0</v>
      </c>
      <c r="F834" s="191">
        <v>0</v>
      </c>
      <c r="G834" s="191">
        <v>0</v>
      </c>
      <c r="H834" s="191">
        <v>0</v>
      </c>
      <c r="I834" s="191">
        <v>0</v>
      </c>
      <c r="J834" s="193">
        <v>5500</v>
      </c>
      <c r="K834" s="191">
        <v>0</v>
      </c>
      <c r="L834" s="191">
        <v>0</v>
      </c>
      <c r="M834" s="191">
        <v>0</v>
      </c>
      <c r="N834" s="191">
        <v>0</v>
      </c>
      <c r="O834" s="191">
        <v>0</v>
      </c>
      <c r="P834" s="191">
        <v>0</v>
      </c>
    </row>
    <row r="835" spans="1:16" x14ac:dyDescent="0.25">
      <c r="A835" s="190">
        <v>801010402</v>
      </c>
      <c r="B835" s="190" t="s">
        <v>430</v>
      </c>
      <c r="C835" s="190">
        <v>3251</v>
      </c>
      <c r="D835" s="190" t="s">
        <v>408</v>
      </c>
      <c r="E835" s="191">
        <v>0</v>
      </c>
      <c r="F835" s="191">
        <v>0</v>
      </c>
      <c r="G835" s="191">
        <v>0</v>
      </c>
      <c r="H835" s="193">
        <v>8000</v>
      </c>
      <c r="I835" s="191">
        <v>0</v>
      </c>
      <c r="J835" s="191">
        <v>0</v>
      </c>
      <c r="K835" s="191">
        <v>0</v>
      </c>
      <c r="L835" s="191">
        <v>0</v>
      </c>
      <c r="M835" s="191">
        <v>0</v>
      </c>
      <c r="N835" s="191">
        <v>0</v>
      </c>
      <c r="O835" s="191">
        <v>0</v>
      </c>
      <c r="P835" s="191">
        <v>0</v>
      </c>
    </row>
    <row r="836" spans="1:16" x14ac:dyDescent="0.25">
      <c r="A836" s="190">
        <v>801010402</v>
      </c>
      <c r="B836" s="190" t="s">
        <v>431</v>
      </c>
      <c r="C836" s="190">
        <v>3251</v>
      </c>
      <c r="D836" s="190" t="s">
        <v>408</v>
      </c>
      <c r="E836" s="191">
        <v>0</v>
      </c>
      <c r="F836" s="191">
        <v>0</v>
      </c>
      <c r="G836" s="191">
        <v>0</v>
      </c>
      <c r="H836" s="193">
        <v>5000</v>
      </c>
      <c r="I836" s="191">
        <v>0</v>
      </c>
      <c r="J836" s="193">
        <v>8000</v>
      </c>
      <c r="K836" s="191">
        <v>0</v>
      </c>
      <c r="L836" s="191">
        <v>0</v>
      </c>
      <c r="M836" s="191">
        <v>0</v>
      </c>
      <c r="N836" s="191">
        <v>0</v>
      </c>
      <c r="O836" s="191">
        <v>0</v>
      </c>
      <c r="P836" s="191">
        <v>0</v>
      </c>
    </row>
    <row r="837" spans="1:16" x14ac:dyDescent="0.25">
      <c r="A837" s="190">
        <v>801010402</v>
      </c>
      <c r="B837" s="190" t="s">
        <v>435</v>
      </c>
      <c r="C837" s="190">
        <v>3251</v>
      </c>
      <c r="D837" s="190" t="s">
        <v>408</v>
      </c>
      <c r="E837" s="191">
        <v>0</v>
      </c>
      <c r="F837" s="191">
        <v>0</v>
      </c>
      <c r="G837" s="191">
        <v>0</v>
      </c>
      <c r="H837" s="191">
        <v>0</v>
      </c>
      <c r="I837" s="191">
        <v>0</v>
      </c>
      <c r="J837" s="193">
        <v>12862</v>
      </c>
      <c r="K837" s="191">
        <v>0</v>
      </c>
      <c r="L837" s="191">
        <v>0</v>
      </c>
      <c r="M837" s="191">
        <v>0</v>
      </c>
      <c r="N837" s="191">
        <v>0</v>
      </c>
      <c r="O837" s="191">
        <v>0</v>
      </c>
      <c r="P837" s="191">
        <v>0</v>
      </c>
    </row>
    <row r="838" spans="1:16" x14ac:dyDescent="0.25">
      <c r="A838" s="190">
        <v>801010402</v>
      </c>
      <c r="B838" s="190" t="s">
        <v>428</v>
      </c>
      <c r="C838" s="190">
        <v>3261</v>
      </c>
      <c r="D838" s="190" t="s">
        <v>408</v>
      </c>
      <c r="E838" s="191">
        <v>0</v>
      </c>
      <c r="F838" s="191">
        <v>0</v>
      </c>
      <c r="G838" s="191">
        <v>0</v>
      </c>
      <c r="H838" s="191">
        <v>0</v>
      </c>
      <c r="I838" s="191">
        <v>696</v>
      </c>
      <c r="J838" s="191">
        <v>0</v>
      </c>
      <c r="K838" s="191">
        <v>0</v>
      </c>
      <c r="L838" s="191">
        <v>0</v>
      </c>
      <c r="M838" s="191">
        <v>0</v>
      </c>
      <c r="N838" s="191">
        <v>0</v>
      </c>
      <c r="O838" s="191">
        <v>0</v>
      </c>
      <c r="P838" s="191">
        <v>0</v>
      </c>
    </row>
    <row r="839" spans="1:16" x14ac:dyDescent="0.25">
      <c r="A839" s="190">
        <v>801010402</v>
      </c>
      <c r="B839" s="190" t="s">
        <v>407</v>
      </c>
      <c r="C839" s="190">
        <v>3311</v>
      </c>
      <c r="D839" s="190" t="s">
        <v>408</v>
      </c>
      <c r="E839" s="191">
        <v>0</v>
      </c>
      <c r="F839" s="191">
        <v>0</v>
      </c>
      <c r="G839" s="191">
        <v>0</v>
      </c>
      <c r="H839" s="191">
        <v>0</v>
      </c>
      <c r="I839" s="191">
        <v>0</v>
      </c>
      <c r="J839" s="191">
        <v>0</v>
      </c>
      <c r="K839" s="191">
        <v>0</v>
      </c>
      <c r="L839" s="193">
        <v>23200</v>
      </c>
      <c r="M839" s="193">
        <v>46400</v>
      </c>
      <c r="N839" s="191">
        <v>0</v>
      </c>
      <c r="O839" s="191">
        <v>0</v>
      </c>
      <c r="P839" s="193">
        <v>77012</v>
      </c>
    </row>
    <row r="840" spans="1:16" x14ac:dyDescent="0.25">
      <c r="A840" s="190">
        <v>801010402</v>
      </c>
      <c r="B840" s="190" t="s">
        <v>407</v>
      </c>
      <c r="C840" s="190">
        <v>3331</v>
      </c>
      <c r="D840" s="190" t="s">
        <v>408</v>
      </c>
      <c r="E840" s="191">
        <v>0</v>
      </c>
      <c r="F840" s="191">
        <v>0</v>
      </c>
      <c r="G840" s="191">
        <v>0</v>
      </c>
      <c r="H840" s="191">
        <v>0</v>
      </c>
      <c r="I840" s="191">
        <v>0</v>
      </c>
      <c r="J840" s="193">
        <v>18096</v>
      </c>
      <c r="K840" s="191">
        <v>0</v>
      </c>
      <c r="L840" s="191">
        <v>0</v>
      </c>
      <c r="M840" s="191">
        <v>0</v>
      </c>
      <c r="N840" s="191">
        <v>0</v>
      </c>
      <c r="O840" s="191">
        <v>0</v>
      </c>
      <c r="P840" s="191">
        <v>0</v>
      </c>
    </row>
    <row r="841" spans="1:16" x14ac:dyDescent="0.25">
      <c r="A841" s="190">
        <v>801010402</v>
      </c>
      <c r="B841" s="190" t="s">
        <v>407</v>
      </c>
      <c r="C841" s="190">
        <v>3341</v>
      </c>
      <c r="D841" s="190" t="s">
        <v>409</v>
      </c>
      <c r="E841" s="191">
        <v>0</v>
      </c>
      <c r="F841" s="191">
        <v>0</v>
      </c>
      <c r="G841" s="191">
        <v>0</v>
      </c>
      <c r="H841" s="191">
        <v>0</v>
      </c>
      <c r="I841" s="191">
        <v>960</v>
      </c>
      <c r="J841" s="191">
        <v>0</v>
      </c>
      <c r="K841" s="191">
        <v>0</v>
      </c>
      <c r="L841" s="191">
        <v>0</v>
      </c>
      <c r="M841" s="191">
        <v>0</v>
      </c>
      <c r="N841" s="191">
        <v>0</v>
      </c>
      <c r="O841" s="191">
        <v>0</v>
      </c>
      <c r="P841" s="191">
        <v>0</v>
      </c>
    </row>
    <row r="842" spans="1:16" x14ac:dyDescent="0.25">
      <c r="A842" s="190">
        <v>801010402</v>
      </c>
      <c r="B842" s="190" t="s">
        <v>407</v>
      </c>
      <c r="C842" s="190">
        <v>3341</v>
      </c>
      <c r="D842" s="190" t="s">
        <v>408</v>
      </c>
      <c r="E842" s="191">
        <v>0</v>
      </c>
      <c r="F842" s="193">
        <v>36771</v>
      </c>
      <c r="G842" s="193">
        <v>5796</v>
      </c>
      <c r="H842" s="193">
        <v>3780</v>
      </c>
      <c r="I842" s="193">
        <v>65900.02</v>
      </c>
      <c r="J842" s="193">
        <v>14540</v>
      </c>
      <c r="K842" s="193">
        <v>31680</v>
      </c>
      <c r="L842" s="193">
        <v>9773.7999999999993</v>
      </c>
      <c r="M842" s="191">
        <v>0</v>
      </c>
      <c r="N842" s="193">
        <v>7424</v>
      </c>
      <c r="O842" s="193">
        <v>54670</v>
      </c>
      <c r="P842" s="193">
        <v>13729.6</v>
      </c>
    </row>
    <row r="843" spans="1:16" x14ac:dyDescent="0.25">
      <c r="A843" s="190">
        <v>801010402</v>
      </c>
      <c r="B843" s="190" t="s">
        <v>411</v>
      </c>
      <c r="C843" s="190">
        <v>3341</v>
      </c>
      <c r="D843" s="190" t="s">
        <v>408</v>
      </c>
      <c r="E843" s="191">
        <v>0</v>
      </c>
      <c r="F843" s="191">
        <v>0</v>
      </c>
      <c r="G843" s="191">
        <v>0</v>
      </c>
      <c r="H843" s="191">
        <v>0</v>
      </c>
      <c r="I843" s="191">
        <v>0</v>
      </c>
      <c r="J843" s="191">
        <v>0</v>
      </c>
      <c r="K843" s="191">
        <v>0</v>
      </c>
      <c r="L843" s="193">
        <v>4000</v>
      </c>
      <c r="M843" s="191">
        <v>0</v>
      </c>
      <c r="N843" s="191">
        <v>0</v>
      </c>
      <c r="O843" s="191">
        <v>0</v>
      </c>
      <c r="P843" s="191">
        <v>0</v>
      </c>
    </row>
    <row r="844" spans="1:16" x14ac:dyDescent="0.25">
      <c r="A844" s="190">
        <v>801010402</v>
      </c>
      <c r="B844" s="190" t="s">
        <v>412</v>
      </c>
      <c r="C844" s="190">
        <v>3341</v>
      </c>
      <c r="D844" s="190" t="s">
        <v>408</v>
      </c>
      <c r="E844" s="191">
        <v>0</v>
      </c>
      <c r="F844" s="193">
        <v>3600</v>
      </c>
      <c r="G844" s="193">
        <v>2700</v>
      </c>
      <c r="H844" s="191">
        <v>0</v>
      </c>
      <c r="I844" s="191">
        <v>0</v>
      </c>
      <c r="J844" s="193">
        <v>7200</v>
      </c>
      <c r="K844" s="191">
        <v>0</v>
      </c>
      <c r="L844" s="191">
        <v>0</v>
      </c>
      <c r="M844" s="191">
        <v>0</v>
      </c>
      <c r="N844" s="191">
        <v>0</v>
      </c>
      <c r="O844" s="191">
        <v>0</v>
      </c>
      <c r="P844" s="191">
        <v>0</v>
      </c>
    </row>
    <row r="845" spans="1:16" x14ac:dyDescent="0.25">
      <c r="A845" s="190">
        <v>801010402</v>
      </c>
      <c r="B845" s="190" t="s">
        <v>417</v>
      </c>
      <c r="C845" s="190">
        <v>3341</v>
      </c>
      <c r="D845" s="190" t="s">
        <v>408</v>
      </c>
      <c r="E845" s="191">
        <v>0</v>
      </c>
      <c r="F845" s="191">
        <v>0</v>
      </c>
      <c r="G845" s="191">
        <v>0</v>
      </c>
      <c r="H845" s="191">
        <v>0</v>
      </c>
      <c r="I845" s="191">
        <v>0</v>
      </c>
      <c r="J845" s="191">
        <v>0</v>
      </c>
      <c r="K845" s="191">
        <v>0</v>
      </c>
      <c r="L845" s="193">
        <v>7500</v>
      </c>
      <c r="M845" s="191">
        <v>0</v>
      </c>
      <c r="N845" s="191">
        <v>0</v>
      </c>
      <c r="O845" s="191">
        <v>0</v>
      </c>
      <c r="P845" s="191">
        <v>0</v>
      </c>
    </row>
    <row r="846" spans="1:16" x14ac:dyDescent="0.25">
      <c r="A846" s="190">
        <v>801010402</v>
      </c>
      <c r="B846" s="190" t="s">
        <v>420</v>
      </c>
      <c r="C846" s="190">
        <v>3341</v>
      </c>
      <c r="D846" s="190" t="s">
        <v>408</v>
      </c>
      <c r="E846" s="191">
        <v>0</v>
      </c>
      <c r="F846" s="191">
        <v>0</v>
      </c>
      <c r="G846" s="191">
        <v>0</v>
      </c>
      <c r="H846" s="191">
        <v>0</v>
      </c>
      <c r="I846" s="191">
        <v>0</v>
      </c>
      <c r="J846" s="191">
        <v>0</v>
      </c>
      <c r="K846" s="191">
        <v>0</v>
      </c>
      <c r="L846" s="193">
        <v>5568</v>
      </c>
      <c r="M846" s="191">
        <v>0</v>
      </c>
      <c r="N846" s="191">
        <v>0</v>
      </c>
      <c r="O846" s="191">
        <v>0</v>
      </c>
      <c r="P846" s="191">
        <v>0</v>
      </c>
    </row>
    <row r="847" spans="1:16" x14ac:dyDescent="0.25">
      <c r="A847" s="190">
        <v>801010402</v>
      </c>
      <c r="B847" s="190" t="s">
        <v>422</v>
      </c>
      <c r="C847" s="190">
        <v>3341</v>
      </c>
      <c r="D847" s="190" t="s">
        <v>408</v>
      </c>
      <c r="E847" s="191">
        <v>0</v>
      </c>
      <c r="F847" s="193">
        <v>4262.3999999999996</v>
      </c>
      <c r="G847" s="191">
        <v>0</v>
      </c>
      <c r="H847" s="193">
        <v>6393.6</v>
      </c>
      <c r="I847" s="193">
        <v>2131.1999999999998</v>
      </c>
      <c r="J847" s="193">
        <v>6393.6</v>
      </c>
      <c r="K847" s="191">
        <v>0</v>
      </c>
      <c r="L847" s="193">
        <v>6393.6</v>
      </c>
      <c r="M847" s="191">
        <v>0</v>
      </c>
      <c r="N847" s="191">
        <v>0</v>
      </c>
      <c r="O847" s="193">
        <v>3409.92</v>
      </c>
      <c r="P847" s="193">
        <v>4425.7700000000004</v>
      </c>
    </row>
    <row r="848" spans="1:16" x14ac:dyDescent="0.25">
      <c r="A848" s="190">
        <v>801010402</v>
      </c>
      <c r="B848" s="190" t="s">
        <v>423</v>
      </c>
      <c r="C848" s="190">
        <v>3341</v>
      </c>
      <c r="D848" s="190" t="s">
        <v>408</v>
      </c>
      <c r="E848" s="191">
        <v>0</v>
      </c>
      <c r="F848" s="191">
        <v>0</v>
      </c>
      <c r="G848" s="193">
        <v>2340</v>
      </c>
      <c r="H848" s="193">
        <v>2835</v>
      </c>
      <c r="I848" s="193">
        <v>2025</v>
      </c>
      <c r="J848" s="193">
        <v>5490</v>
      </c>
      <c r="K848" s="191">
        <v>0</v>
      </c>
      <c r="L848" s="191">
        <v>0</v>
      </c>
      <c r="M848" s="191">
        <v>0</v>
      </c>
      <c r="N848" s="193">
        <v>1551</v>
      </c>
      <c r="O848" s="193">
        <v>2025</v>
      </c>
      <c r="P848" s="193">
        <v>2361</v>
      </c>
    </row>
    <row r="849" spans="1:16" x14ac:dyDescent="0.25">
      <c r="A849" s="190">
        <v>801010402</v>
      </c>
      <c r="B849" s="190" t="s">
        <v>424</v>
      </c>
      <c r="C849" s="190">
        <v>3341</v>
      </c>
      <c r="D849" s="190" t="s">
        <v>408</v>
      </c>
      <c r="E849" s="191">
        <v>0</v>
      </c>
      <c r="F849" s="191">
        <v>0</v>
      </c>
      <c r="G849" s="191">
        <v>0</v>
      </c>
      <c r="H849" s="191">
        <v>0</v>
      </c>
      <c r="I849" s="191">
        <v>0</v>
      </c>
      <c r="J849" s="191">
        <v>0</v>
      </c>
      <c r="K849" s="191">
        <v>0</v>
      </c>
      <c r="L849" s="193">
        <v>2820</v>
      </c>
      <c r="M849" s="191">
        <v>0</v>
      </c>
      <c r="N849" s="191">
        <v>0</v>
      </c>
      <c r="O849" s="191">
        <v>0</v>
      </c>
      <c r="P849" s="191">
        <v>0</v>
      </c>
    </row>
    <row r="850" spans="1:16" x14ac:dyDescent="0.25">
      <c r="A850" s="190">
        <v>801010402</v>
      </c>
      <c r="B850" s="190" t="s">
        <v>425</v>
      </c>
      <c r="C850" s="190">
        <v>3341</v>
      </c>
      <c r="D850" s="190" t="s">
        <v>408</v>
      </c>
      <c r="E850" s="191">
        <v>0</v>
      </c>
      <c r="F850" s="191">
        <v>960</v>
      </c>
      <c r="G850" s="191">
        <v>960</v>
      </c>
      <c r="H850" s="191">
        <v>960</v>
      </c>
      <c r="I850" s="191">
        <v>0</v>
      </c>
      <c r="J850" s="193">
        <v>5470</v>
      </c>
      <c r="K850" s="193">
        <v>1513.8</v>
      </c>
      <c r="L850" s="191">
        <v>0</v>
      </c>
      <c r="M850" s="191">
        <v>0</v>
      </c>
      <c r="N850" s="193">
        <v>3027.6</v>
      </c>
      <c r="O850" s="193">
        <v>1513.8</v>
      </c>
      <c r="P850" s="193">
        <v>1513.8</v>
      </c>
    </row>
    <row r="851" spans="1:16" x14ac:dyDescent="0.25">
      <c r="A851" s="190">
        <v>801010402</v>
      </c>
      <c r="B851" s="190" t="s">
        <v>426</v>
      </c>
      <c r="C851" s="190">
        <v>3341</v>
      </c>
      <c r="D851" s="190" t="s">
        <v>408</v>
      </c>
      <c r="E851" s="191">
        <v>0</v>
      </c>
      <c r="F851" s="193">
        <v>3840</v>
      </c>
      <c r="G851" s="193">
        <v>3663.3</v>
      </c>
      <c r="H851" s="193">
        <v>3840</v>
      </c>
      <c r="I851" s="193">
        <v>3697.65</v>
      </c>
      <c r="J851" s="193">
        <v>3751.65</v>
      </c>
      <c r="K851" s="193">
        <v>3751.5</v>
      </c>
      <c r="L851" s="193">
        <v>5500</v>
      </c>
      <c r="M851" s="191">
        <v>0</v>
      </c>
      <c r="N851" s="193">
        <v>2614.9499999999998</v>
      </c>
      <c r="O851" s="191">
        <v>0</v>
      </c>
      <c r="P851" s="191">
        <v>871.65</v>
      </c>
    </row>
    <row r="852" spans="1:16" x14ac:dyDescent="0.25">
      <c r="A852" s="190">
        <v>801010402</v>
      </c>
      <c r="B852" s="190" t="s">
        <v>428</v>
      </c>
      <c r="C852" s="190">
        <v>3341</v>
      </c>
      <c r="D852" s="190" t="s">
        <v>408</v>
      </c>
      <c r="E852" s="191">
        <v>0</v>
      </c>
      <c r="F852" s="191">
        <v>0</v>
      </c>
      <c r="G852" s="191">
        <v>0</v>
      </c>
      <c r="H852" s="191">
        <v>0</v>
      </c>
      <c r="I852" s="193">
        <v>2820</v>
      </c>
      <c r="J852" s="191">
        <v>0</v>
      </c>
      <c r="K852" s="191">
        <v>0</v>
      </c>
      <c r="L852" s="193">
        <v>10000</v>
      </c>
      <c r="M852" s="191">
        <v>0</v>
      </c>
      <c r="N852" s="191">
        <v>0</v>
      </c>
      <c r="O852" s="191">
        <v>0</v>
      </c>
      <c r="P852" s="191">
        <v>0</v>
      </c>
    </row>
    <row r="853" spans="1:16" x14ac:dyDescent="0.25">
      <c r="A853" s="190">
        <v>801010402</v>
      </c>
      <c r="B853" s="190" t="s">
        <v>429</v>
      </c>
      <c r="C853" s="190">
        <v>3341</v>
      </c>
      <c r="D853" s="190" t="s">
        <v>408</v>
      </c>
      <c r="E853" s="191">
        <v>0</v>
      </c>
      <c r="F853" s="191">
        <v>0</v>
      </c>
      <c r="G853" s="191">
        <v>0</v>
      </c>
      <c r="H853" s="191">
        <v>0</v>
      </c>
      <c r="I853" s="191">
        <v>0</v>
      </c>
      <c r="J853" s="191">
        <v>0</v>
      </c>
      <c r="K853" s="191">
        <v>0</v>
      </c>
      <c r="L853" s="193">
        <v>4000</v>
      </c>
      <c r="M853" s="191">
        <v>0</v>
      </c>
      <c r="N853" s="191">
        <v>749.4</v>
      </c>
      <c r="O853" s="191">
        <v>0</v>
      </c>
      <c r="P853" s="191">
        <v>0</v>
      </c>
    </row>
    <row r="854" spans="1:16" x14ac:dyDescent="0.25">
      <c r="A854" s="190">
        <v>801010402</v>
      </c>
      <c r="B854" s="190" t="s">
        <v>430</v>
      </c>
      <c r="C854" s="190">
        <v>3341</v>
      </c>
      <c r="D854" s="190" t="s">
        <v>408</v>
      </c>
      <c r="E854" s="193">
        <v>1647</v>
      </c>
      <c r="F854" s="193">
        <v>1674</v>
      </c>
      <c r="G854" s="193">
        <v>1647</v>
      </c>
      <c r="H854" s="191">
        <v>0</v>
      </c>
      <c r="I854" s="193">
        <v>4194</v>
      </c>
      <c r="J854" s="193">
        <v>3447</v>
      </c>
      <c r="K854" s="193">
        <v>1647</v>
      </c>
      <c r="L854" s="193">
        <v>2547</v>
      </c>
      <c r="M854" s="191">
        <v>0</v>
      </c>
      <c r="N854" s="193">
        <v>3447</v>
      </c>
      <c r="O854" s="193">
        <v>1800</v>
      </c>
      <c r="P854" s="191">
        <v>0</v>
      </c>
    </row>
    <row r="855" spans="1:16" x14ac:dyDescent="0.25">
      <c r="A855" s="190">
        <v>801010402</v>
      </c>
      <c r="B855" s="190" t="s">
        <v>431</v>
      </c>
      <c r="C855" s="190">
        <v>3341</v>
      </c>
      <c r="D855" s="190" t="s">
        <v>408</v>
      </c>
      <c r="E855" s="191">
        <v>0</v>
      </c>
      <c r="F855" s="193">
        <v>5760</v>
      </c>
      <c r="G855" s="193">
        <v>5760</v>
      </c>
      <c r="H855" s="191">
        <v>0</v>
      </c>
      <c r="I855" s="191">
        <v>0</v>
      </c>
      <c r="J855" s="193">
        <v>5760</v>
      </c>
      <c r="K855" s="191">
        <v>0</v>
      </c>
      <c r="L855" s="191">
        <v>0</v>
      </c>
      <c r="M855" s="191">
        <v>0</v>
      </c>
      <c r="N855" s="191">
        <v>0</v>
      </c>
      <c r="O855" s="191">
        <v>0</v>
      </c>
      <c r="P855" s="191">
        <v>0</v>
      </c>
    </row>
    <row r="856" spans="1:16" x14ac:dyDescent="0.25">
      <c r="A856" s="190">
        <v>801010402</v>
      </c>
      <c r="B856" s="190" t="s">
        <v>432</v>
      </c>
      <c r="C856" s="190">
        <v>3341</v>
      </c>
      <c r="D856" s="190" t="s">
        <v>408</v>
      </c>
      <c r="E856" s="191">
        <v>0</v>
      </c>
      <c r="F856" s="191">
        <v>0</v>
      </c>
      <c r="G856" s="193">
        <v>1189.2</v>
      </c>
      <c r="H856" s="193">
        <v>3128.4</v>
      </c>
      <c r="I856" s="191">
        <v>0</v>
      </c>
      <c r="J856" s="193">
        <v>1189.2</v>
      </c>
      <c r="K856" s="191">
        <v>0</v>
      </c>
      <c r="L856" s="191">
        <v>0</v>
      </c>
      <c r="M856" s="191">
        <v>0</v>
      </c>
      <c r="N856" s="193">
        <v>2250</v>
      </c>
      <c r="O856" s="191">
        <v>0</v>
      </c>
      <c r="P856" s="193">
        <v>1500</v>
      </c>
    </row>
    <row r="857" spans="1:16" x14ac:dyDescent="0.25">
      <c r="A857" s="190">
        <v>801010402</v>
      </c>
      <c r="B857" s="190" t="s">
        <v>436</v>
      </c>
      <c r="C857" s="190">
        <v>3341</v>
      </c>
      <c r="D857" s="190" t="s">
        <v>408</v>
      </c>
      <c r="E857" s="191">
        <v>0</v>
      </c>
      <c r="F857" s="191">
        <v>0</v>
      </c>
      <c r="G857" s="191">
        <v>0</v>
      </c>
      <c r="H857" s="191">
        <v>0</v>
      </c>
      <c r="I857" s="191">
        <v>0</v>
      </c>
      <c r="J857" s="191">
        <v>0</v>
      </c>
      <c r="K857" s="191">
        <v>0</v>
      </c>
      <c r="L857" s="193">
        <v>21750</v>
      </c>
      <c r="M857" s="191">
        <v>0</v>
      </c>
      <c r="N857" s="191">
        <v>0</v>
      </c>
      <c r="O857" s="191">
        <v>0</v>
      </c>
      <c r="P857" s="191">
        <v>0</v>
      </c>
    </row>
    <row r="858" spans="1:16" x14ac:dyDescent="0.25">
      <c r="A858" s="190">
        <v>801010402</v>
      </c>
      <c r="B858" s="190" t="s">
        <v>407</v>
      </c>
      <c r="C858" s="190">
        <v>3361</v>
      </c>
      <c r="D858" s="190" t="s">
        <v>408</v>
      </c>
      <c r="E858" s="191">
        <v>0</v>
      </c>
      <c r="F858" s="193">
        <v>1218.43</v>
      </c>
      <c r="G858" s="193">
        <v>1705.2</v>
      </c>
      <c r="H858" s="193">
        <v>2310</v>
      </c>
      <c r="I858" s="193">
        <v>1855.81</v>
      </c>
      <c r="J858" s="191">
        <v>0</v>
      </c>
      <c r="K858" s="193">
        <v>13580.4</v>
      </c>
      <c r="L858" s="193">
        <v>2143</v>
      </c>
      <c r="M858" s="191">
        <v>0</v>
      </c>
      <c r="N858" s="193">
        <v>6833.03</v>
      </c>
      <c r="O858" s="191">
        <v>0</v>
      </c>
      <c r="P858" s="193">
        <v>9659.48</v>
      </c>
    </row>
    <row r="859" spans="1:16" x14ac:dyDescent="0.25">
      <c r="A859" s="190">
        <v>801010402</v>
      </c>
      <c r="B859" s="190" t="s">
        <v>410</v>
      </c>
      <c r="C859" s="190">
        <v>3361</v>
      </c>
      <c r="D859" s="190" t="s">
        <v>408</v>
      </c>
      <c r="E859" s="191">
        <v>0</v>
      </c>
      <c r="F859" s="191">
        <v>0</v>
      </c>
      <c r="G859" s="191">
        <v>0</v>
      </c>
      <c r="H859" s="193">
        <v>2310</v>
      </c>
      <c r="I859" s="191">
        <v>0</v>
      </c>
      <c r="J859" s="191">
        <v>0</v>
      </c>
      <c r="K859" s="193">
        <v>4446.24</v>
      </c>
      <c r="L859" s="193">
        <v>2143</v>
      </c>
      <c r="M859" s="191">
        <v>0</v>
      </c>
      <c r="N859" s="193">
        <v>2277.65</v>
      </c>
      <c r="O859" s="191">
        <v>0</v>
      </c>
      <c r="P859" s="193">
        <v>3219.84</v>
      </c>
    </row>
    <row r="860" spans="1:16" x14ac:dyDescent="0.25">
      <c r="A860" s="190">
        <v>801010402</v>
      </c>
      <c r="B860" s="190" t="s">
        <v>411</v>
      </c>
      <c r="C860" s="190">
        <v>3361</v>
      </c>
      <c r="D860" s="190" t="s">
        <v>408</v>
      </c>
      <c r="E860" s="191">
        <v>0</v>
      </c>
      <c r="F860" s="191">
        <v>0</v>
      </c>
      <c r="G860" s="191">
        <v>0</v>
      </c>
      <c r="H860" s="193">
        <v>2310</v>
      </c>
      <c r="I860" s="191">
        <v>0</v>
      </c>
      <c r="J860" s="191">
        <v>0</v>
      </c>
      <c r="K860" s="193">
        <v>4314</v>
      </c>
      <c r="L860" s="193">
        <v>2143</v>
      </c>
      <c r="M860" s="191">
        <v>0</v>
      </c>
      <c r="N860" s="193">
        <v>2277.65</v>
      </c>
      <c r="O860" s="191">
        <v>0</v>
      </c>
      <c r="P860" s="193">
        <v>3219.84</v>
      </c>
    </row>
    <row r="861" spans="1:16" x14ac:dyDescent="0.25">
      <c r="A861" s="190">
        <v>801010402</v>
      </c>
      <c r="B861" s="190" t="s">
        <v>412</v>
      </c>
      <c r="C861" s="190">
        <v>3361</v>
      </c>
      <c r="D861" s="190" t="s">
        <v>408</v>
      </c>
      <c r="E861" s="191">
        <v>0</v>
      </c>
      <c r="F861" s="191">
        <v>0</v>
      </c>
      <c r="G861" s="191">
        <v>0</v>
      </c>
      <c r="H861" s="193">
        <v>2310</v>
      </c>
      <c r="I861" s="191">
        <v>0</v>
      </c>
      <c r="J861" s="191">
        <v>0</v>
      </c>
      <c r="K861" s="193">
        <v>4314</v>
      </c>
      <c r="L861" s="193">
        <v>2143</v>
      </c>
      <c r="M861" s="191">
        <v>0</v>
      </c>
      <c r="N861" s="193">
        <v>2277.65</v>
      </c>
      <c r="O861" s="191">
        <v>0</v>
      </c>
      <c r="P861" s="193">
        <v>3219.84</v>
      </c>
    </row>
    <row r="862" spans="1:16" x14ac:dyDescent="0.25">
      <c r="A862" s="190">
        <v>801010402</v>
      </c>
      <c r="B862" s="190" t="s">
        <v>413</v>
      </c>
      <c r="C862" s="190">
        <v>3361</v>
      </c>
      <c r="D862" s="190" t="s">
        <v>408</v>
      </c>
      <c r="E862" s="191">
        <v>0</v>
      </c>
      <c r="F862" s="191">
        <v>0</v>
      </c>
      <c r="G862" s="191">
        <v>0</v>
      </c>
      <c r="H862" s="193">
        <v>2310</v>
      </c>
      <c r="I862" s="191">
        <v>0</v>
      </c>
      <c r="J862" s="191">
        <v>0</v>
      </c>
      <c r="K862" s="193">
        <v>4314</v>
      </c>
      <c r="L862" s="193">
        <v>2143</v>
      </c>
      <c r="M862" s="191">
        <v>0</v>
      </c>
      <c r="N862" s="193">
        <v>2277.65</v>
      </c>
      <c r="O862" s="191">
        <v>0</v>
      </c>
      <c r="P862" s="193">
        <v>3219.84</v>
      </c>
    </row>
    <row r="863" spans="1:16" x14ac:dyDescent="0.25">
      <c r="A863" s="190">
        <v>801010402</v>
      </c>
      <c r="B863" s="190" t="s">
        <v>414</v>
      </c>
      <c r="C863" s="190">
        <v>3361</v>
      </c>
      <c r="D863" s="190" t="s">
        <v>408</v>
      </c>
      <c r="E863" s="191">
        <v>0</v>
      </c>
      <c r="F863" s="191">
        <v>0</v>
      </c>
      <c r="G863" s="191">
        <v>0</v>
      </c>
      <c r="H863" s="193">
        <v>2310</v>
      </c>
      <c r="I863" s="191">
        <v>0</v>
      </c>
      <c r="J863" s="191">
        <v>0</v>
      </c>
      <c r="K863" s="193">
        <v>4314</v>
      </c>
      <c r="L863" s="193">
        <v>1553.53</v>
      </c>
      <c r="M863" s="191">
        <v>0</v>
      </c>
      <c r="N863" s="193">
        <v>2277.65</v>
      </c>
      <c r="O863" s="191">
        <v>0</v>
      </c>
      <c r="P863" s="193">
        <v>3219.84</v>
      </c>
    </row>
    <row r="864" spans="1:16" x14ac:dyDescent="0.25">
      <c r="A864" s="190">
        <v>801010402</v>
      </c>
      <c r="B864" s="190" t="s">
        <v>415</v>
      </c>
      <c r="C864" s="190">
        <v>3361</v>
      </c>
      <c r="D864" s="190" t="s">
        <v>408</v>
      </c>
      <c r="E864" s="191">
        <v>0</v>
      </c>
      <c r="F864" s="191">
        <v>0</v>
      </c>
      <c r="G864" s="191">
        <v>0</v>
      </c>
      <c r="H864" s="193">
        <v>2310</v>
      </c>
      <c r="I864" s="191">
        <v>0</v>
      </c>
      <c r="J864" s="191">
        <v>0</v>
      </c>
      <c r="K864" s="193">
        <v>4314</v>
      </c>
      <c r="L864" s="193">
        <v>1930.84</v>
      </c>
      <c r="M864" s="191">
        <v>0</v>
      </c>
      <c r="N864" s="193">
        <v>2277.65</v>
      </c>
      <c r="O864" s="191">
        <v>0</v>
      </c>
      <c r="P864" s="193">
        <v>3219.84</v>
      </c>
    </row>
    <row r="865" spans="1:16" x14ac:dyDescent="0.25">
      <c r="A865" s="190">
        <v>801010402</v>
      </c>
      <c r="B865" s="190" t="s">
        <v>416</v>
      </c>
      <c r="C865" s="190">
        <v>3361</v>
      </c>
      <c r="D865" s="190" t="s">
        <v>408</v>
      </c>
      <c r="E865" s="191">
        <v>0</v>
      </c>
      <c r="F865" s="191">
        <v>0</v>
      </c>
      <c r="G865" s="191">
        <v>0</v>
      </c>
      <c r="H865" s="193">
        <v>2310</v>
      </c>
      <c r="I865" s="191">
        <v>0</v>
      </c>
      <c r="J865" s="191">
        <v>0</v>
      </c>
      <c r="K865" s="193">
        <v>4314</v>
      </c>
      <c r="L865" s="193">
        <v>1930.84</v>
      </c>
      <c r="M865" s="191">
        <v>0</v>
      </c>
      <c r="N865" s="193">
        <v>2277.65</v>
      </c>
      <c r="O865" s="191">
        <v>0</v>
      </c>
      <c r="P865" s="193">
        <v>3219.84</v>
      </c>
    </row>
    <row r="866" spans="1:16" x14ac:dyDescent="0.25">
      <c r="A866" s="190">
        <v>801010402</v>
      </c>
      <c r="B866" s="190" t="s">
        <v>417</v>
      </c>
      <c r="C866" s="190">
        <v>3361</v>
      </c>
      <c r="D866" s="190" t="s">
        <v>408</v>
      </c>
      <c r="E866" s="191">
        <v>0</v>
      </c>
      <c r="F866" s="191">
        <v>0</v>
      </c>
      <c r="G866" s="191">
        <v>0</v>
      </c>
      <c r="H866" s="193">
        <v>2310</v>
      </c>
      <c r="I866" s="191">
        <v>0</v>
      </c>
      <c r="J866" s="191">
        <v>0</v>
      </c>
      <c r="K866" s="193">
        <v>4314</v>
      </c>
      <c r="L866" s="193">
        <v>1930.84</v>
      </c>
      <c r="M866" s="191">
        <v>0</v>
      </c>
      <c r="N866" s="193">
        <v>2277.65</v>
      </c>
      <c r="O866" s="191">
        <v>0</v>
      </c>
      <c r="P866" s="193">
        <v>3219.84</v>
      </c>
    </row>
    <row r="867" spans="1:16" x14ac:dyDescent="0.25">
      <c r="A867" s="190">
        <v>801010402</v>
      </c>
      <c r="B867" s="190" t="s">
        <v>419</v>
      </c>
      <c r="C867" s="190">
        <v>3361</v>
      </c>
      <c r="D867" s="190" t="s">
        <v>408</v>
      </c>
      <c r="E867" s="191">
        <v>0</v>
      </c>
      <c r="F867" s="191">
        <v>0</v>
      </c>
      <c r="G867" s="191">
        <v>0</v>
      </c>
      <c r="H867" s="193">
        <v>2310</v>
      </c>
      <c r="I867" s="191">
        <v>0</v>
      </c>
      <c r="J867" s="191">
        <v>0</v>
      </c>
      <c r="K867" s="193">
        <v>4314</v>
      </c>
      <c r="L867" s="193">
        <v>1930.84</v>
      </c>
      <c r="M867" s="191">
        <v>0</v>
      </c>
      <c r="N867" s="193">
        <v>2277.65</v>
      </c>
      <c r="O867" s="191">
        <v>0</v>
      </c>
      <c r="P867" s="193">
        <v>3219.84</v>
      </c>
    </row>
    <row r="868" spans="1:16" x14ac:dyDescent="0.25">
      <c r="A868" s="190">
        <v>801010402</v>
      </c>
      <c r="B868" s="190" t="s">
        <v>420</v>
      </c>
      <c r="C868" s="190">
        <v>3361</v>
      </c>
      <c r="D868" s="190" t="s">
        <v>408</v>
      </c>
      <c r="E868" s="191">
        <v>0</v>
      </c>
      <c r="F868" s="191">
        <v>0</v>
      </c>
      <c r="G868" s="191">
        <v>0</v>
      </c>
      <c r="H868" s="193">
        <v>2310</v>
      </c>
      <c r="I868" s="191">
        <v>0</v>
      </c>
      <c r="J868" s="191">
        <v>0</v>
      </c>
      <c r="K868" s="193">
        <v>4314</v>
      </c>
      <c r="L868" s="193">
        <v>1930.84</v>
      </c>
      <c r="M868" s="191">
        <v>0</v>
      </c>
      <c r="N868" s="193">
        <v>2277.65</v>
      </c>
      <c r="O868" s="191">
        <v>0</v>
      </c>
      <c r="P868" s="193">
        <v>3219.84</v>
      </c>
    </row>
    <row r="869" spans="1:16" x14ac:dyDescent="0.25">
      <c r="A869" s="190">
        <v>801010402</v>
      </c>
      <c r="B869" s="190" t="s">
        <v>421</v>
      </c>
      <c r="C869" s="190">
        <v>3361</v>
      </c>
      <c r="D869" s="190" t="s">
        <v>408</v>
      </c>
      <c r="E869" s="191">
        <v>0</v>
      </c>
      <c r="F869" s="191">
        <v>0</v>
      </c>
      <c r="G869" s="191">
        <v>0</v>
      </c>
      <c r="H869" s="193">
        <v>2310</v>
      </c>
      <c r="I869" s="191">
        <v>0</v>
      </c>
      <c r="J869" s="191">
        <v>0</v>
      </c>
      <c r="K869" s="193">
        <v>4314</v>
      </c>
      <c r="L869" s="193">
        <v>1930.84</v>
      </c>
      <c r="M869" s="191">
        <v>0</v>
      </c>
      <c r="N869" s="193">
        <v>2277.65</v>
      </c>
      <c r="O869" s="191">
        <v>0</v>
      </c>
      <c r="P869" s="193">
        <v>3219.84</v>
      </c>
    </row>
    <row r="870" spans="1:16" x14ac:dyDescent="0.25">
      <c r="A870" s="190">
        <v>801010402</v>
      </c>
      <c r="B870" s="190" t="s">
        <v>422</v>
      </c>
      <c r="C870" s="190">
        <v>3361</v>
      </c>
      <c r="D870" s="190" t="s">
        <v>408</v>
      </c>
      <c r="E870" s="191">
        <v>0</v>
      </c>
      <c r="F870" s="191">
        <v>0</v>
      </c>
      <c r="G870" s="191">
        <v>0</v>
      </c>
      <c r="H870" s="193">
        <v>2310</v>
      </c>
      <c r="I870" s="191">
        <v>0</v>
      </c>
      <c r="J870" s="191">
        <v>0</v>
      </c>
      <c r="K870" s="193">
        <v>4314</v>
      </c>
      <c r="L870" s="193">
        <v>1930.84</v>
      </c>
      <c r="M870" s="191">
        <v>0</v>
      </c>
      <c r="N870" s="193">
        <v>2277.65</v>
      </c>
      <c r="O870" s="191">
        <v>0</v>
      </c>
      <c r="P870" s="193">
        <v>3219.84</v>
      </c>
    </row>
    <row r="871" spans="1:16" x14ac:dyDescent="0.25">
      <c r="A871" s="190">
        <v>801010402</v>
      </c>
      <c r="B871" s="190" t="s">
        <v>423</v>
      </c>
      <c r="C871" s="190">
        <v>3361</v>
      </c>
      <c r="D871" s="190" t="s">
        <v>408</v>
      </c>
      <c r="E871" s="191">
        <v>0</v>
      </c>
      <c r="F871" s="191">
        <v>0</v>
      </c>
      <c r="G871" s="191">
        <v>0</v>
      </c>
      <c r="H871" s="193">
        <v>2310</v>
      </c>
      <c r="I871" s="191">
        <v>0</v>
      </c>
      <c r="J871" s="191">
        <v>0</v>
      </c>
      <c r="K871" s="193">
        <v>4314</v>
      </c>
      <c r="L871" s="193">
        <v>2143</v>
      </c>
      <c r="M871" s="191">
        <v>0</v>
      </c>
      <c r="N871" s="193">
        <v>2277.65</v>
      </c>
      <c r="O871" s="191">
        <v>0</v>
      </c>
      <c r="P871" s="193">
        <v>3219.84</v>
      </c>
    </row>
    <row r="872" spans="1:16" x14ac:dyDescent="0.25">
      <c r="A872" s="190">
        <v>801010402</v>
      </c>
      <c r="B872" s="190" t="s">
        <v>424</v>
      </c>
      <c r="C872" s="190">
        <v>3361</v>
      </c>
      <c r="D872" s="190" t="s">
        <v>408</v>
      </c>
      <c r="E872" s="191">
        <v>0</v>
      </c>
      <c r="F872" s="191">
        <v>0</v>
      </c>
      <c r="G872" s="191">
        <v>0</v>
      </c>
      <c r="H872" s="193">
        <v>2310</v>
      </c>
      <c r="I872" s="191">
        <v>0</v>
      </c>
      <c r="J872" s="191">
        <v>0</v>
      </c>
      <c r="K872" s="193">
        <v>4314</v>
      </c>
      <c r="L872" s="193">
        <v>2143</v>
      </c>
      <c r="M872" s="191">
        <v>0</v>
      </c>
      <c r="N872" s="193">
        <v>2277.65</v>
      </c>
      <c r="O872" s="191">
        <v>0</v>
      </c>
      <c r="P872" s="193">
        <v>3219.84</v>
      </c>
    </row>
    <row r="873" spans="1:16" x14ac:dyDescent="0.25">
      <c r="A873" s="190">
        <v>801010402</v>
      </c>
      <c r="B873" s="190" t="s">
        <v>425</v>
      </c>
      <c r="C873" s="190">
        <v>3361</v>
      </c>
      <c r="D873" s="190" t="s">
        <v>408</v>
      </c>
      <c r="E873" s="191">
        <v>0</v>
      </c>
      <c r="F873" s="191">
        <v>0</v>
      </c>
      <c r="G873" s="191">
        <v>0</v>
      </c>
      <c r="H873" s="193">
        <v>2310</v>
      </c>
      <c r="I873" s="191">
        <v>0</v>
      </c>
      <c r="J873" s="191">
        <v>0</v>
      </c>
      <c r="K873" s="193">
        <v>4314</v>
      </c>
      <c r="L873" s="193">
        <v>2143</v>
      </c>
      <c r="M873" s="191">
        <v>0</v>
      </c>
      <c r="N873" s="193">
        <v>2277.65</v>
      </c>
      <c r="O873" s="191">
        <v>0</v>
      </c>
      <c r="P873" s="193">
        <v>3219.84</v>
      </c>
    </row>
    <row r="874" spans="1:16" x14ac:dyDescent="0.25">
      <c r="A874" s="190">
        <v>801010402</v>
      </c>
      <c r="B874" s="190" t="s">
        <v>426</v>
      </c>
      <c r="C874" s="190">
        <v>3361</v>
      </c>
      <c r="D874" s="190" t="s">
        <v>408</v>
      </c>
      <c r="E874" s="191">
        <v>0</v>
      </c>
      <c r="F874" s="191">
        <v>0</v>
      </c>
      <c r="G874" s="191">
        <v>0</v>
      </c>
      <c r="H874" s="193">
        <v>2310</v>
      </c>
      <c r="I874" s="191">
        <v>0</v>
      </c>
      <c r="J874" s="191">
        <v>0</v>
      </c>
      <c r="K874" s="193">
        <v>4314</v>
      </c>
      <c r="L874" s="193">
        <v>2143</v>
      </c>
      <c r="M874" s="191">
        <v>0</v>
      </c>
      <c r="N874" s="193">
        <v>2277.65</v>
      </c>
      <c r="O874" s="191">
        <v>0</v>
      </c>
      <c r="P874" s="193">
        <v>3219.84</v>
      </c>
    </row>
    <row r="875" spans="1:16" x14ac:dyDescent="0.25">
      <c r="A875" s="190">
        <v>801010402</v>
      </c>
      <c r="B875" s="190" t="s">
        <v>427</v>
      </c>
      <c r="C875" s="190">
        <v>3361</v>
      </c>
      <c r="D875" s="190" t="s">
        <v>408</v>
      </c>
      <c r="E875" s="191">
        <v>0</v>
      </c>
      <c r="F875" s="191">
        <v>0</v>
      </c>
      <c r="G875" s="191">
        <v>0</v>
      </c>
      <c r="H875" s="193">
        <v>2310</v>
      </c>
      <c r="I875" s="191">
        <v>0</v>
      </c>
      <c r="J875" s="191">
        <v>0</v>
      </c>
      <c r="K875" s="193">
        <v>4314</v>
      </c>
      <c r="L875" s="193">
        <v>2143</v>
      </c>
      <c r="M875" s="191">
        <v>0</v>
      </c>
      <c r="N875" s="193">
        <v>2277.65</v>
      </c>
      <c r="O875" s="191">
        <v>0</v>
      </c>
      <c r="P875" s="193">
        <v>3219.84</v>
      </c>
    </row>
    <row r="876" spans="1:16" x14ac:dyDescent="0.25">
      <c r="A876" s="190">
        <v>801010402</v>
      </c>
      <c r="B876" s="190" t="s">
        <v>428</v>
      </c>
      <c r="C876" s="190">
        <v>3361</v>
      </c>
      <c r="D876" s="190" t="s">
        <v>408</v>
      </c>
      <c r="E876" s="191">
        <v>0</v>
      </c>
      <c r="F876" s="191">
        <v>0</v>
      </c>
      <c r="G876" s="191">
        <v>0</v>
      </c>
      <c r="H876" s="193">
        <v>2310</v>
      </c>
      <c r="I876" s="191">
        <v>0</v>
      </c>
      <c r="J876" s="191">
        <v>0</v>
      </c>
      <c r="K876" s="193">
        <v>4314</v>
      </c>
      <c r="L876" s="193">
        <v>2143</v>
      </c>
      <c r="M876" s="191">
        <v>0</v>
      </c>
      <c r="N876" s="193">
        <v>2277.65</v>
      </c>
      <c r="O876" s="191">
        <v>0</v>
      </c>
      <c r="P876" s="193">
        <v>3219.84</v>
      </c>
    </row>
    <row r="877" spans="1:16" x14ac:dyDescent="0.25">
      <c r="A877" s="190">
        <v>801010402</v>
      </c>
      <c r="B877" s="190" t="s">
        <v>429</v>
      </c>
      <c r="C877" s="190">
        <v>3361</v>
      </c>
      <c r="D877" s="190" t="s">
        <v>408</v>
      </c>
      <c r="E877" s="191">
        <v>0</v>
      </c>
      <c r="F877" s="191">
        <v>0</v>
      </c>
      <c r="G877" s="191">
        <v>0</v>
      </c>
      <c r="H877" s="193">
        <v>2310</v>
      </c>
      <c r="I877" s="191">
        <v>0</v>
      </c>
      <c r="J877" s="191">
        <v>0</v>
      </c>
      <c r="K877" s="193">
        <v>4314</v>
      </c>
      <c r="L877" s="193">
        <v>2143</v>
      </c>
      <c r="M877" s="191">
        <v>0</v>
      </c>
      <c r="N877" s="193">
        <v>2277.65</v>
      </c>
      <c r="O877" s="191">
        <v>0</v>
      </c>
      <c r="P877" s="193">
        <v>3219.84</v>
      </c>
    </row>
    <row r="878" spans="1:16" x14ac:dyDescent="0.25">
      <c r="A878" s="190">
        <v>801010402</v>
      </c>
      <c r="B878" s="190" t="s">
        <v>430</v>
      </c>
      <c r="C878" s="190">
        <v>3361</v>
      </c>
      <c r="D878" s="190" t="s">
        <v>408</v>
      </c>
      <c r="E878" s="191">
        <v>0</v>
      </c>
      <c r="F878" s="191">
        <v>0</v>
      </c>
      <c r="G878" s="191">
        <v>0</v>
      </c>
      <c r="H878" s="193">
        <v>2310</v>
      </c>
      <c r="I878" s="191">
        <v>0</v>
      </c>
      <c r="J878" s="191">
        <v>0</v>
      </c>
      <c r="K878" s="193">
        <v>4314</v>
      </c>
      <c r="L878" s="193">
        <v>2143</v>
      </c>
      <c r="M878" s="191">
        <v>0</v>
      </c>
      <c r="N878" s="193">
        <v>2277.65</v>
      </c>
      <c r="O878" s="191">
        <v>0</v>
      </c>
      <c r="P878" s="193">
        <v>3219.84</v>
      </c>
    </row>
    <row r="879" spans="1:16" x14ac:dyDescent="0.25">
      <c r="A879" s="190">
        <v>801010402</v>
      </c>
      <c r="B879" s="190" t="s">
        <v>431</v>
      </c>
      <c r="C879" s="190">
        <v>3361</v>
      </c>
      <c r="D879" s="190" t="s">
        <v>408</v>
      </c>
      <c r="E879" s="191">
        <v>0</v>
      </c>
      <c r="F879" s="191">
        <v>0</v>
      </c>
      <c r="G879" s="191">
        <v>0</v>
      </c>
      <c r="H879" s="193">
        <v>2310</v>
      </c>
      <c r="I879" s="191">
        <v>0</v>
      </c>
      <c r="J879" s="191">
        <v>0</v>
      </c>
      <c r="K879" s="193">
        <v>4314</v>
      </c>
      <c r="L879" s="193">
        <v>2143</v>
      </c>
      <c r="M879" s="191">
        <v>0</v>
      </c>
      <c r="N879" s="193">
        <v>2277.65</v>
      </c>
      <c r="O879" s="191">
        <v>0</v>
      </c>
      <c r="P879" s="193">
        <v>3219.84</v>
      </c>
    </row>
    <row r="880" spans="1:16" x14ac:dyDescent="0.25">
      <c r="A880" s="190">
        <v>801010402</v>
      </c>
      <c r="B880" s="190" t="s">
        <v>432</v>
      </c>
      <c r="C880" s="190">
        <v>3361</v>
      </c>
      <c r="D880" s="190" t="s">
        <v>408</v>
      </c>
      <c r="E880" s="191">
        <v>0</v>
      </c>
      <c r="F880" s="191">
        <v>0</v>
      </c>
      <c r="G880" s="191">
        <v>0</v>
      </c>
      <c r="H880" s="193">
        <v>2297.9299999999998</v>
      </c>
      <c r="I880" s="191">
        <v>0</v>
      </c>
      <c r="J880" s="191">
        <v>0</v>
      </c>
      <c r="K880" s="193">
        <v>4314</v>
      </c>
      <c r="L880" s="193">
        <v>2143</v>
      </c>
      <c r="M880" s="191">
        <v>0</v>
      </c>
      <c r="N880" s="193">
        <v>2277.65</v>
      </c>
      <c r="O880" s="191">
        <v>0</v>
      </c>
      <c r="P880" s="193">
        <v>3219.84</v>
      </c>
    </row>
    <row r="881" spans="1:16" x14ac:dyDescent="0.25">
      <c r="A881" s="190">
        <v>801010402</v>
      </c>
      <c r="B881" s="190" t="s">
        <v>433</v>
      </c>
      <c r="C881" s="190">
        <v>3361</v>
      </c>
      <c r="D881" s="190" t="s">
        <v>408</v>
      </c>
      <c r="E881" s="191">
        <v>0</v>
      </c>
      <c r="F881" s="191">
        <v>0</v>
      </c>
      <c r="G881" s="191">
        <v>0</v>
      </c>
      <c r="H881" s="191">
        <v>0</v>
      </c>
      <c r="I881" s="191">
        <v>0</v>
      </c>
      <c r="J881" s="191">
        <v>0</v>
      </c>
      <c r="K881" s="193">
        <v>4314</v>
      </c>
      <c r="L881" s="193">
        <v>2143</v>
      </c>
      <c r="M881" s="191">
        <v>0</v>
      </c>
      <c r="N881" s="193">
        <v>2277.65</v>
      </c>
      <c r="O881" s="191">
        <v>0</v>
      </c>
      <c r="P881" s="193">
        <v>3219.84</v>
      </c>
    </row>
    <row r="882" spans="1:16" x14ac:dyDescent="0.25">
      <c r="A882" s="190">
        <v>801010402</v>
      </c>
      <c r="B882" s="190" t="s">
        <v>434</v>
      </c>
      <c r="C882" s="190">
        <v>3361</v>
      </c>
      <c r="D882" s="190" t="s">
        <v>408</v>
      </c>
      <c r="E882" s="191">
        <v>0</v>
      </c>
      <c r="F882" s="191">
        <v>0</v>
      </c>
      <c r="G882" s="191">
        <v>0</v>
      </c>
      <c r="H882" s="191">
        <v>0</v>
      </c>
      <c r="I882" s="191">
        <v>0</v>
      </c>
      <c r="J882" s="191">
        <v>0</v>
      </c>
      <c r="K882" s="193">
        <v>4314</v>
      </c>
      <c r="L882" s="193">
        <v>2142</v>
      </c>
      <c r="M882" s="191">
        <v>0</v>
      </c>
      <c r="N882" s="193">
        <v>2277.65</v>
      </c>
      <c r="O882" s="191">
        <v>0</v>
      </c>
      <c r="P882" s="193">
        <v>3219.84</v>
      </c>
    </row>
    <row r="883" spans="1:16" x14ac:dyDescent="0.25">
      <c r="A883" s="190">
        <v>801010402</v>
      </c>
      <c r="B883" s="190" t="s">
        <v>435</v>
      </c>
      <c r="C883" s="190">
        <v>3361</v>
      </c>
      <c r="D883" s="190" t="s">
        <v>408</v>
      </c>
      <c r="E883" s="191">
        <v>0</v>
      </c>
      <c r="F883" s="191">
        <v>0</v>
      </c>
      <c r="G883" s="191">
        <v>0</v>
      </c>
      <c r="H883" s="191">
        <v>0</v>
      </c>
      <c r="I883" s="191">
        <v>0</v>
      </c>
      <c r="J883" s="191">
        <v>0</v>
      </c>
      <c r="K883" s="193">
        <v>4314</v>
      </c>
      <c r="L883" s="193">
        <v>2142</v>
      </c>
      <c r="M883" s="191">
        <v>0</v>
      </c>
      <c r="N883" s="193">
        <v>2277.65</v>
      </c>
      <c r="O883" s="191">
        <v>0</v>
      </c>
      <c r="P883" s="193">
        <v>3219.84</v>
      </c>
    </row>
    <row r="884" spans="1:16" x14ac:dyDescent="0.25">
      <c r="A884" s="190">
        <v>801010402</v>
      </c>
      <c r="B884" s="190" t="s">
        <v>436</v>
      </c>
      <c r="C884" s="190">
        <v>3361</v>
      </c>
      <c r="D884" s="190" t="s">
        <v>408</v>
      </c>
      <c r="E884" s="191">
        <v>0</v>
      </c>
      <c r="F884" s="191">
        <v>0</v>
      </c>
      <c r="G884" s="191">
        <v>0</v>
      </c>
      <c r="H884" s="191">
        <v>0</v>
      </c>
      <c r="I884" s="191">
        <v>0</v>
      </c>
      <c r="J884" s="191">
        <v>0</v>
      </c>
      <c r="K884" s="193">
        <v>4314</v>
      </c>
      <c r="L884" s="193">
        <v>2142</v>
      </c>
      <c r="M884" s="191">
        <v>0</v>
      </c>
      <c r="N884" s="193">
        <v>2277.65</v>
      </c>
      <c r="O884" s="191">
        <v>0</v>
      </c>
      <c r="P884" s="193">
        <v>3219.84</v>
      </c>
    </row>
    <row r="885" spans="1:16" x14ac:dyDescent="0.25">
      <c r="A885" s="190">
        <v>801010402</v>
      </c>
      <c r="B885" s="190" t="s">
        <v>437</v>
      </c>
      <c r="C885" s="190">
        <v>3361</v>
      </c>
      <c r="D885" s="190" t="s">
        <v>408</v>
      </c>
      <c r="E885" s="191">
        <v>0</v>
      </c>
      <c r="F885" s="191">
        <v>0</v>
      </c>
      <c r="G885" s="191">
        <v>0</v>
      </c>
      <c r="H885" s="191">
        <v>0</v>
      </c>
      <c r="I885" s="191">
        <v>0</v>
      </c>
      <c r="J885" s="191">
        <v>0</v>
      </c>
      <c r="K885" s="193">
        <v>4314</v>
      </c>
      <c r="L885" s="193">
        <v>2142</v>
      </c>
      <c r="M885" s="191">
        <v>0</v>
      </c>
      <c r="N885" s="193">
        <v>2277.65</v>
      </c>
      <c r="O885" s="191">
        <v>0</v>
      </c>
      <c r="P885" s="193">
        <v>3219.84</v>
      </c>
    </row>
    <row r="886" spans="1:16" x14ac:dyDescent="0.25">
      <c r="A886" s="190">
        <v>801010402</v>
      </c>
      <c r="B886" s="190" t="s">
        <v>407</v>
      </c>
      <c r="C886" s="190">
        <v>3362</v>
      </c>
      <c r="D886" s="190" t="s">
        <v>409</v>
      </c>
      <c r="E886" s="191">
        <v>0</v>
      </c>
      <c r="F886" s="191">
        <v>0</v>
      </c>
      <c r="G886" s="191">
        <v>0</v>
      </c>
      <c r="H886" s="191">
        <v>0</v>
      </c>
      <c r="I886" s="191">
        <v>0</v>
      </c>
      <c r="J886" s="191">
        <v>0</v>
      </c>
      <c r="K886" s="191">
        <v>0</v>
      </c>
      <c r="L886" s="191">
        <v>0</v>
      </c>
      <c r="M886" s="191">
        <v>0</v>
      </c>
      <c r="N886" s="191">
        <v>0</v>
      </c>
      <c r="O886" s="193">
        <v>24439.360000000001</v>
      </c>
      <c r="P886" s="191">
        <v>0</v>
      </c>
    </row>
    <row r="887" spans="1:16" x14ac:dyDescent="0.25">
      <c r="A887" s="190">
        <v>801010402</v>
      </c>
      <c r="B887" s="190" t="s">
        <v>407</v>
      </c>
      <c r="C887" s="190">
        <v>3362</v>
      </c>
      <c r="D887" s="190" t="s">
        <v>408</v>
      </c>
      <c r="E887" s="191">
        <v>0</v>
      </c>
      <c r="F887" s="191">
        <v>0</v>
      </c>
      <c r="G887" s="191">
        <v>0</v>
      </c>
      <c r="H887" s="191">
        <v>0</v>
      </c>
      <c r="I887" s="191">
        <v>0</v>
      </c>
      <c r="J887" s="193">
        <v>10382</v>
      </c>
      <c r="K887" s="193">
        <v>7806.66</v>
      </c>
      <c r="L887" s="191">
        <v>0</v>
      </c>
      <c r="M887" s="193">
        <v>10978.72</v>
      </c>
      <c r="N887" s="193">
        <v>45704</v>
      </c>
      <c r="O887" s="193">
        <v>6625.92</v>
      </c>
      <c r="P887" s="191">
        <v>0</v>
      </c>
    </row>
    <row r="888" spans="1:16" x14ac:dyDescent="0.25">
      <c r="A888" s="190">
        <v>801010402</v>
      </c>
      <c r="B888" s="190" t="s">
        <v>410</v>
      </c>
      <c r="C888" s="190">
        <v>3362</v>
      </c>
      <c r="D888" s="190" t="s">
        <v>409</v>
      </c>
      <c r="E888" s="191">
        <v>0</v>
      </c>
      <c r="F888" s="191">
        <v>0</v>
      </c>
      <c r="G888" s="191">
        <v>0</v>
      </c>
      <c r="H888" s="191">
        <v>0</v>
      </c>
      <c r="I888" s="191">
        <v>0</v>
      </c>
      <c r="J888" s="191">
        <v>0</v>
      </c>
      <c r="K888" s="191">
        <v>0</v>
      </c>
      <c r="L888" s="191">
        <v>0</v>
      </c>
      <c r="M888" s="191">
        <v>0</v>
      </c>
      <c r="N888" s="191">
        <v>0</v>
      </c>
      <c r="O888" s="193">
        <v>12219.64</v>
      </c>
      <c r="P888" s="191">
        <v>0</v>
      </c>
    </row>
    <row r="889" spans="1:16" x14ac:dyDescent="0.25">
      <c r="A889" s="190">
        <v>801010402</v>
      </c>
      <c r="B889" s="190" t="s">
        <v>410</v>
      </c>
      <c r="C889" s="190">
        <v>3362</v>
      </c>
      <c r="D889" s="190" t="s">
        <v>408</v>
      </c>
      <c r="E889" s="191">
        <v>0</v>
      </c>
      <c r="F889" s="191">
        <v>0</v>
      </c>
      <c r="G889" s="191">
        <v>0</v>
      </c>
      <c r="H889" s="191">
        <v>0</v>
      </c>
      <c r="I889" s="191">
        <v>0</v>
      </c>
      <c r="J889" s="191">
        <v>0</v>
      </c>
      <c r="K889" s="191">
        <v>0</v>
      </c>
      <c r="L889" s="191">
        <v>0</v>
      </c>
      <c r="M889" s="193">
        <v>5489.28</v>
      </c>
      <c r="N889" s="191">
        <v>0</v>
      </c>
      <c r="O889" s="193">
        <v>2208.64</v>
      </c>
      <c r="P889" s="191">
        <v>0</v>
      </c>
    </row>
    <row r="890" spans="1:16" x14ac:dyDescent="0.25">
      <c r="A890" s="190">
        <v>801010402</v>
      </c>
      <c r="B890" s="190" t="s">
        <v>411</v>
      </c>
      <c r="C890" s="190">
        <v>3362</v>
      </c>
      <c r="D890" s="190" t="s">
        <v>409</v>
      </c>
      <c r="E890" s="191">
        <v>0</v>
      </c>
      <c r="F890" s="191">
        <v>0</v>
      </c>
      <c r="G890" s="191">
        <v>0</v>
      </c>
      <c r="H890" s="191">
        <v>0</v>
      </c>
      <c r="I890" s="191">
        <v>0</v>
      </c>
      <c r="J890" s="191">
        <v>0</v>
      </c>
      <c r="K890" s="191">
        <v>0</v>
      </c>
      <c r="L890" s="191">
        <v>0</v>
      </c>
      <c r="M890" s="191">
        <v>0</v>
      </c>
      <c r="N890" s="191">
        <v>0</v>
      </c>
      <c r="O890" s="193">
        <v>12219.64</v>
      </c>
      <c r="P890" s="191">
        <v>0</v>
      </c>
    </row>
    <row r="891" spans="1:16" x14ac:dyDescent="0.25">
      <c r="A891" s="190">
        <v>801010402</v>
      </c>
      <c r="B891" s="190" t="s">
        <v>411</v>
      </c>
      <c r="C891" s="190">
        <v>3362</v>
      </c>
      <c r="D891" s="190" t="s">
        <v>408</v>
      </c>
      <c r="E891" s="191">
        <v>0</v>
      </c>
      <c r="F891" s="191">
        <v>0</v>
      </c>
      <c r="G891" s="191">
        <v>0</v>
      </c>
      <c r="H891" s="191">
        <v>0</v>
      </c>
      <c r="I891" s="191">
        <v>0</v>
      </c>
      <c r="J891" s="191">
        <v>0</v>
      </c>
      <c r="K891" s="191">
        <v>0</v>
      </c>
      <c r="L891" s="191">
        <v>0</v>
      </c>
      <c r="M891" s="193">
        <v>5489.28</v>
      </c>
      <c r="N891" s="191">
        <v>0</v>
      </c>
      <c r="O891" s="193">
        <v>2208.64</v>
      </c>
      <c r="P891" s="191">
        <v>0</v>
      </c>
    </row>
    <row r="892" spans="1:16" x14ac:dyDescent="0.25">
      <c r="A892" s="190">
        <v>801010402</v>
      </c>
      <c r="B892" s="190" t="s">
        <v>412</v>
      </c>
      <c r="C892" s="190">
        <v>3362</v>
      </c>
      <c r="D892" s="190" t="s">
        <v>409</v>
      </c>
      <c r="E892" s="191">
        <v>0</v>
      </c>
      <c r="F892" s="191">
        <v>0</v>
      </c>
      <c r="G892" s="191">
        <v>0</v>
      </c>
      <c r="H892" s="191">
        <v>0</v>
      </c>
      <c r="I892" s="191">
        <v>0</v>
      </c>
      <c r="J892" s="191">
        <v>0</v>
      </c>
      <c r="K892" s="191">
        <v>0</v>
      </c>
      <c r="L892" s="191">
        <v>0</v>
      </c>
      <c r="M892" s="191">
        <v>0</v>
      </c>
      <c r="N892" s="191">
        <v>0</v>
      </c>
      <c r="O892" s="193">
        <v>12219.64</v>
      </c>
      <c r="P892" s="191">
        <v>0</v>
      </c>
    </row>
    <row r="893" spans="1:16" x14ac:dyDescent="0.25">
      <c r="A893" s="190">
        <v>801010402</v>
      </c>
      <c r="B893" s="190" t="s">
        <v>412</v>
      </c>
      <c r="C893" s="190">
        <v>3362</v>
      </c>
      <c r="D893" s="190" t="s">
        <v>408</v>
      </c>
      <c r="E893" s="191">
        <v>0</v>
      </c>
      <c r="F893" s="191">
        <v>0</v>
      </c>
      <c r="G893" s="191">
        <v>0</v>
      </c>
      <c r="H893" s="191">
        <v>0</v>
      </c>
      <c r="I893" s="191">
        <v>0</v>
      </c>
      <c r="J893" s="191">
        <v>0</v>
      </c>
      <c r="K893" s="191">
        <v>0</v>
      </c>
      <c r="L893" s="191">
        <v>0</v>
      </c>
      <c r="M893" s="193">
        <v>5489.28</v>
      </c>
      <c r="N893" s="191">
        <v>0</v>
      </c>
      <c r="O893" s="193">
        <v>2208.64</v>
      </c>
      <c r="P893" s="191">
        <v>0</v>
      </c>
    </row>
    <row r="894" spans="1:16" x14ac:dyDescent="0.25">
      <c r="A894" s="190">
        <v>801010402</v>
      </c>
      <c r="B894" s="190" t="s">
        <v>413</v>
      </c>
      <c r="C894" s="190">
        <v>3362</v>
      </c>
      <c r="D894" s="190" t="s">
        <v>409</v>
      </c>
      <c r="E894" s="191">
        <v>0</v>
      </c>
      <c r="F894" s="191">
        <v>0</v>
      </c>
      <c r="G894" s="191">
        <v>0</v>
      </c>
      <c r="H894" s="191">
        <v>0</v>
      </c>
      <c r="I894" s="191">
        <v>0</v>
      </c>
      <c r="J894" s="191">
        <v>0</v>
      </c>
      <c r="K894" s="191">
        <v>0</v>
      </c>
      <c r="L894" s="191">
        <v>0</v>
      </c>
      <c r="M894" s="191">
        <v>0</v>
      </c>
      <c r="N894" s="191">
        <v>0</v>
      </c>
      <c r="O894" s="193">
        <v>12219.64</v>
      </c>
      <c r="P894" s="191">
        <v>0</v>
      </c>
    </row>
    <row r="895" spans="1:16" x14ac:dyDescent="0.25">
      <c r="A895" s="190">
        <v>801010402</v>
      </c>
      <c r="B895" s="190" t="s">
        <v>413</v>
      </c>
      <c r="C895" s="190">
        <v>3362</v>
      </c>
      <c r="D895" s="190" t="s">
        <v>408</v>
      </c>
      <c r="E895" s="191">
        <v>0</v>
      </c>
      <c r="F895" s="191">
        <v>0</v>
      </c>
      <c r="G895" s="191">
        <v>0</v>
      </c>
      <c r="H895" s="191">
        <v>0</v>
      </c>
      <c r="I895" s="191">
        <v>0</v>
      </c>
      <c r="J895" s="191">
        <v>0</v>
      </c>
      <c r="K895" s="191">
        <v>0</v>
      </c>
      <c r="L895" s="191">
        <v>0</v>
      </c>
      <c r="M895" s="193">
        <v>5489.28</v>
      </c>
      <c r="N895" s="191">
        <v>0</v>
      </c>
      <c r="O895" s="193">
        <v>2208.64</v>
      </c>
      <c r="P895" s="191">
        <v>0</v>
      </c>
    </row>
    <row r="896" spans="1:16" x14ac:dyDescent="0.25">
      <c r="A896" s="190">
        <v>801010402</v>
      </c>
      <c r="B896" s="190" t="s">
        <v>414</v>
      </c>
      <c r="C896" s="190">
        <v>3362</v>
      </c>
      <c r="D896" s="190" t="s">
        <v>409</v>
      </c>
      <c r="E896" s="191">
        <v>0</v>
      </c>
      <c r="F896" s="191">
        <v>0</v>
      </c>
      <c r="G896" s="191">
        <v>0</v>
      </c>
      <c r="H896" s="191">
        <v>0</v>
      </c>
      <c r="I896" s="191">
        <v>0</v>
      </c>
      <c r="J896" s="191">
        <v>0</v>
      </c>
      <c r="K896" s="191">
        <v>0</v>
      </c>
      <c r="L896" s="191">
        <v>0</v>
      </c>
      <c r="M896" s="191">
        <v>0</v>
      </c>
      <c r="N896" s="191">
        <v>0</v>
      </c>
      <c r="O896" s="193">
        <v>12219.64</v>
      </c>
      <c r="P896" s="191">
        <v>0</v>
      </c>
    </row>
    <row r="897" spans="1:16" x14ac:dyDescent="0.25">
      <c r="A897" s="190">
        <v>801010402</v>
      </c>
      <c r="B897" s="190" t="s">
        <v>414</v>
      </c>
      <c r="C897" s="190">
        <v>3362</v>
      </c>
      <c r="D897" s="190" t="s">
        <v>408</v>
      </c>
      <c r="E897" s="191">
        <v>0</v>
      </c>
      <c r="F897" s="191">
        <v>0</v>
      </c>
      <c r="G897" s="191">
        <v>0</v>
      </c>
      <c r="H897" s="193">
        <v>6032</v>
      </c>
      <c r="I897" s="191">
        <v>0</v>
      </c>
      <c r="J897" s="191">
        <v>0</v>
      </c>
      <c r="K897" s="191">
        <v>0</v>
      </c>
      <c r="L897" s="191">
        <v>0</v>
      </c>
      <c r="M897" s="193">
        <v>5489.28</v>
      </c>
      <c r="N897" s="191">
        <v>0</v>
      </c>
      <c r="O897" s="193">
        <v>2208.64</v>
      </c>
      <c r="P897" s="191">
        <v>0</v>
      </c>
    </row>
    <row r="898" spans="1:16" x14ac:dyDescent="0.25">
      <c r="A898" s="190">
        <v>801010402</v>
      </c>
      <c r="B898" s="190" t="s">
        <v>415</v>
      </c>
      <c r="C898" s="190">
        <v>3362</v>
      </c>
      <c r="D898" s="190" t="s">
        <v>409</v>
      </c>
      <c r="E898" s="191">
        <v>0</v>
      </c>
      <c r="F898" s="191">
        <v>0</v>
      </c>
      <c r="G898" s="191">
        <v>0</v>
      </c>
      <c r="H898" s="191">
        <v>0</v>
      </c>
      <c r="I898" s="191">
        <v>0</v>
      </c>
      <c r="J898" s="191">
        <v>0</v>
      </c>
      <c r="K898" s="191">
        <v>0</v>
      </c>
      <c r="L898" s="191">
        <v>0</v>
      </c>
      <c r="M898" s="191">
        <v>0</v>
      </c>
      <c r="N898" s="191">
        <v>0</v>
      </c>
      <c r="O898" s="193">
        <v>12219.64</v>
      </c>
      <c r="P898" s="191">
        <v>0</v>
      </c>
    </row>
    <row r="899" spans="1:16" x14ac:dyDescent="0.25">
      <c r="A899" s="190">
        <v>801010402</v>
      </c>
      <c r="B899" s="190" t="s">
        <v>415</v>
      </c>
      <c r="C899" s="190">
        <v>3362</v>
      </c>
      <c r="D899" s="190" t="s">
        <v>408</v>
      </c>
      <c r="E899" s="191">
        <v>0</v>
      </c>
      <c r="F899" s="191">
        <v>0</v>
      </c>
      <c r="G899" s="191">
        <v>0</v>
      </c>
      <c r="H899" s="191">
        <v>0</v>
      </c>
      <c r="I899" s="191">
        <v>0</v>
      </c>
      <c r="J899" s="191">
        <v>0</v>
      </c>
      <c r="K899" s="191">
        <v>0</v>
      </c>
      <c r="L899" s="191">
        <v>0</v>
      </c>
      <c r="M899" s="193">
        <v>5489.28</v>
      </c>
      <c r="N899" s="191">
        <v>0</v>
      </c>
      <c r="O899" s="193">
        <v>2208.64</v>
      </c>
      <c r="P899" s="191">
        <v>0</v>
      </c>
    </row>
    <row r="900" spans="1:16" x14ac:dyDescent="0.25">
      <c r="A900" s="190">
        <v>801010402</v>
      </c>
      <c r="B900" s="190" t="s">
        <v>416</v>
      </c>
      <c r="C900" s="190">
        <v>3362</v>
      </c>
      <c r="D900" s="190" t="s">
        <v>409</v>
      </c>
      <c r="E900" s="191">
        <v>0</v>
      </c>
      <c r="F900" s="191">
        <v>0</v>
      </c>
      <c r="G900" s="191">
        <v>0</v>
      </c>
      <c r="H900" s="191">
        <v>0</v>
      </c>
      <c r="I900" s="191">
        <v>0</v>
      </c>
      <c r="J900" s="191">
        <v>0</v>
      </c>
      <c r="K900" s="191">
        <v>0</v>
      </c>
      <c r="L900" s="191">
        <v>0</v>
      </c>
      <c r="M900" s="191">
        <v>0</v>
      </c>
      <c r="N900" s="191">
        <v>0</v>
      </c>
      <c r="O900" s="193">
        <v>12219.64</v>
      </c>
      <c r="P900" s="191">
        <v>0</v>
      </c>
    </row>
    <row r="901" spans="1:16" x14ac:dyDescent="0.25">
      <c r="A901" s="190">
        <v>801010402</v>
      </c>
      <c r="B901" s="190" t="s">
        <v>416</v>
      </c>
      <c r="C901" s="190">
        <v>3362</v>
      </c>
      <c r="D901" s="190" t="s">
        <v>408</v>
      </c>
      <c r="E901" s="191">
        <v>0</v>
      </c>
      <c r="F901" s="191">
        <v>0</v>
      </c>
      <c r="G901" s="191">
        <v>0</v>
      </c>
      <c r="H901" s="191">
        <v>0</v>
      </c>
      <c r="I901" s="191">
        <v>0</v>
      </c>
      <c r="J901" s="191">
        <v>0</v>
      </c>
      <c r="K901" s="193">
        <v>7806.67</v>
      </c>
      <c r="L901" s="191">
        <v>0</v>
      </c>
      <c r="M901" s="193">
        <v>5489.28</v>
      </c>
      <c r="N901" s="191">
        <v>0</v>
      </c>
      <c r="O901" s="193">
        <v>2208.64</v>
      </c>
      <c r="P901" s="191">
        <v>0</v>
      </c>
    </row>
    <row r="902" spans="1:16" x14ac:dyDescent="0.25">
      <c r="A902" s="190">
        <v>801010402</v>
      </c>
      <c r="B902" s="190" t="s">
        <v>417</v>
      </c>
      <c r="C902" s="190">
        <v>3362</v>
      </c>
      <c r="D902" s="190" t="s">
        <v>409</v>
      </c>
      <c r="E902" s="191">
        <v>0</v>
      </c>
      <c r="F902" s="191">
        <v>0</v>
      </c>
      <c r="G902" s="191">
        <v>0</v>
      </c>
      <c r="H902" s="191">
        <v>0</v>
      </c>
      <c r="I902" s="191">
        <v>0</v>
      </c>
      <c r="J902" s="191">
        <v>0</v>
      </c>
      <c r="K902" s="191">
        <v>0</v>
      </c>
      <c r="L902" s="191">
        <v>0</v>
      </c>
      <c r="M902" s="191">
        <v>0</v>
      </c>
      <c r="N902" s="191">
        <v>0</v>
      </c>
      <c r="O902" s="193">
        <v>12219.64</v>
      </c>
      <c r="P902" s="191">
        <v>0</v>
      </c>
    </row>
    <row r="903" spans="1:16" x14ac:dyDescent="0.25">
      <c r="A903" s="190">
        <v>801010402</v>
      </c>
      <c r="B903" s="190" t="s">
        <v>417</v>
      </c>
      <c r="C903" s="190">
        <v>3362</v>
      </c>
      <c r="D903" s="190" t="s">
        <v>408</v>
      </c>
      <c r="E903" s="191">
        <v>0</v>
      </c>
      <c r="F903" s="191">
        <v>0</v>
      </c>
      <c r="G903" s="191">
        <v>0</v>
      </c>
      <c r="H903" s="191">
        <v>0</v>
      </c>
      <c r="I903" s="191">
        <v>0</v>
      </c>
      <c r="J903" s="191">
        <v>0</v>
      </c>
      <c r="K903" s="193">
        <v>7806.67</v>
      </c>
      <c r="L903" s="191">
        <v>0</v>
      </c>
      <c r="M903" s="193">
        <v>5489.28</v>
      </c>
      <c r="N903" s="191">
        <v>0</v>
      </c>
      <c r="O903" s="193">
        <v>2208.64</v>
      </c>
      <c r="P903" s="191">
        <v>0</v>
      </c>
    </row>
    <row r="904" spans="1:16" x14ac:dyDescent="0.25">
      <c r="A904" s="190">
        <v>801010402</v>
      </c>
      <c r="B904" s="190" t="s">
        <v>419</v>
      </c>
      <c r="C904" s="190">
        <v>3362</v>
      </c>
      <c r="D904" s="190" t="s">
        <v>409</v>
      </c>
      <c r="E904" s="191">
        <v>0</v>
      </c>
      <c r="F904" s="191">
        <v>0</v>
      </c>
      <c r="G904" s="191">
        <v>0</v>
      </c>
      <c r="H904" s="191">
        <v>0</v>
      </c>
      <c r="I904" s="191">
        <v>0</v>
      </c>
      <c r="J904" s="191">
        <v>0</v>
      </c>
      <c r="K904" s="191">
        <v>0</v>
      </c>
      <c r="L904" s="191">
        <v>0</v>
      </c>
      <c r="M904" s="191">
        <v>0</v>
      </c>
      <c r="N904" s="191">
        <v>0</v>
      </c>
      <c r="O904" s="193">
        <v>12219.64</v>
      </c>
      <c r="P904" s="191">
        <v>0</v>
      </c>
    </row>
    <row r="905" spans="1:16" x14ac:dyDescent="0.25">
      <c r="A905" s="190">
        <v>801010402</v>
      </c>
      <c r="B905" s="190" t="s">
        <v>419</v>
      </c>
      <c r="C905" s="190">
        <v>3362</v>
      </c>
      <c r="D905" s="190" t="s">
        <v>408</v>
      </c>
      <c r="E905" s="191">
        <v>0</v>
      </c>
      <c r="F905" s="191">
        <v>0</v>
      </c>
      <c r="G905" s="191">
        <v>0</v>
      </c>
      <c r="H905" s="191">
        <v>0</v>
      </c>
      <c r="I905" s="191">
        <v>0</v>
      </c>
      <c r="J905" s="191">
        <v>0</v>
      </c>
      <c r="K905" s="191">
        <v>0</v>
      </c>
      <c r="L905" s="191">
        <v>0</v>
      </c>
      <c r="M905" s="193">
        <v>5489.28</v>
      </c>
      <c r="N905" s="191">
        <v>0</v>
      </c>
      <c r="O905" s="193">
        <v>2208.64</v>
      </c>
      <c r="P905" s="191">
        <v>0</v>
      </c>
    </row>
    <row r="906" spans="1:16" x14ac:dyDescent="0.25">
      <c r="A906" s="190">
        <v>801010402</v>
      </c>
      <c r="B906" s="190" t="s">
        <v>420</v>
      </c>
      <c r="C906" s="190">
        <v>3362</v>
      </c>
      <c r="D906" s="190" t="s">
        <v>409</v>
      </c>
      <c r="E906" s="191">
        <v>0</v>
      </c>
      <c r="F906" s="191">
        <v>0</v>
      </c>
      <c r="G906" s="191">
        <v>0</v>
      </c>
      <c r="H906" s="191">
        <v>0</v>
      </c>
      <c r="I906" s="191">
        <v>0</v>
      </c>
      <c r="J906" s="191">
        <v>0</v>
      </c>
      <c r="K906" s="191">
        <v>0</v>
      </c>
      <c r="L906" s="191">
        <v>0</v>
      </c>
      <c r="M906" s="191">
        <v>0</v>
      </c>
      <c r="N906" s="191">
        <v>0</v>
      </c>
      <c r="O906" s="193">
        <v>12219.64</v>
      </c>
      <c r="P906" s="191">
        <v>0</v>
      </c>
    </row>
    <row r="907" spans="1:16" x14ac:dyDescent="0.25">
      <c r="A907" s="190">
        <v>801010402</v>
      </c>
      <c r="B907" s="190" t="s">
        <v>420</v>
      </c>
      <c r="C907" s="190">
        <v>3362</v>
      </c>
      <c r="D907" s="190" t="s">
        <v>408</v>
      </c>
      <c r="E907" s="191">
        <v>0</v>
      </c>
      <c r="F907" s="191">
        <v>0</v>
      </c>
      <c r="G907" s="191">
        <v>0</v>
      </c>
      <c r="H907" s="191">
        <v>0</v>
      </c>
      <c r="I907" s="191">
        <v>0</v>
      </c>
      <c r="J907" s="191">
        <v>0</v>
      </c>
      <c r="K907" s="191">
        <v>0</v>
      </c>
      <c r="L907" s="191">
        <v>0</v>
      </c>
      <c r="M907" s="193">
        <v>5489.28</v>
      </c>
      <c r="N907" s="191">
        <v>0</v>
      </c>
      <c r="O907" s="193">
        <v>2208.64</v>
      </c>
      <c r="P907" s="191">
        <v>0</v>
      </c>
    </row>
    <row r="908" spans="1:16" x14ac:dyDescent="0.25">
      <c r="A908" s="190">
        <v>801010402</v>
      </c>
      <c r="B908" s="190" t="s">
        <v>421</v>
      </c>
      <c r="C908" s="190">
        <v>3362</v>
      </c>
      <c r="D908" s="190" t="s">
        <v>409</v>
      </c>
      <c r="E908" s="191">
        <v>0</v>
      </c>
      <c r="F908" s="191">
        <v>0</v>
      </c>
      <c r="G908" s="191">
        <v>0</v>
      </c>
      <c r="H908" s="191">
        <v>0</v>
      </c>
      <c r="I908" s="191">
        <v>0</v>
      </c>
      <c r="J908" s="191">
        <v>0</v>
      </c>
      <c r="K908" s="191">
        <v>0</v>
      </c>
      <c r="L908" s="191">
        <v>0</v>
      </c>
      <c r="M908" s="191">
        <v>0</v>
      </c>
      <c r="N908" s="191">
        <v>0</v>
      </c>
      <c r="O908" s="193">
        <v>12219.64</v>
      </c>
      <c r="P908" s="191">
        <v>0</v>
      </c>
    </row>
    <row r="909" spans="1:16" x14ac:dyDescent="0.25">
      <c r="A909" s="190">
        <v>801010402</v>
      </c>
      <c r="B909" s="190" t="s">
        <v>421</v>
      </c>
      <c r="C909" s="190">
        <v>3362</v>
      </c>
      <c r="D909" s="190" t="s">
        <v>408</v>
      </c>
      <c r="E909" s="191">
        <v>0</v>
      </c>
      <c r="F909" s="191">
        <v>0</v>
      </c>
      <c r="G909" s="191">
        <v>0</v>
      </c>
      <c r="H909" s="191">
        <v>0</v>
      </c>
      <c r="I909" s="191">
        <v>0</v>
      </c>
      <c r="J909" s="191">
        <v>0</v>
      </c>
      <c r="K909" s="191">
        <v>0</v>
      </c>
      <c r="L909" s="191">
        <v>0</v>
      </c>
      <c r="M909" s="193">
        <v>5489.28</v>
      </c>
      <c r="N909" s="191">
        <v>0</v>
      </c>
      <c r="O909" s="193">
        <v>2208.64</v>
      </c>
      <c r="P909" s="191">
        <v>0</v>
      </c>
    </row>
    <row r="910" spans="1:16" x14ac:dyDescent="0.25">
      <c r="A910" s="190">
        <v>801010402</v>
      </c>
      <c r="B910" s="190" t="s">
        <v>422</v>
      </c>
      <c r="C910" s="190">
        <v>3362</v>
      </c>
      <c r="D910" s="190" t="s">
        <v>409</v>
      </c>
      <c r="E910" s="191">
        <v>0</v>
      </c>
      <c r="F910" s="191">
        <v>0</v>
      </c>
      <c r="G910" s="191">
        <v>0</v>
      </c>
      <c r="H910" s="191">
        <v>0</v>
      </c>
      <c r="I910" s="191">
        <v>0</v>
      </c>
      <c r="J910" s="191">
        <v>0</v>
      </c>
      <c r="K910" s="191">
        <v>0</v>
      </c>
      <c r="L910" s="191">
        <v>0</v>
      </c>
      <c r="M910" s="191">
        <v>0</v>
      </c>
      <c r="N910" s="191">
        <v>0</v>
      </c>
      <c r="O910" s="193">
        <v>12219.64</v>
      </c>
      <c r="P910" s="191">
        <v>0</v>
      </c>
    </row>
    <row r="911" spans="1:16" x14ac:dyDescent="0.25">
      <c r="A911" s="190">
        <v>801010402</v>
      </c>
      <c r="B911" s="190" t="s">
        <v>422</v>
      </c>
      <c r="C911" s="190">
        <v>3362</v>
      </c>
      <c r="D911" s="190" t="s">
        <v>408</v>
      </c>
      <c r="E911" s="191">
        <v>0</v>
      </c>
      <c r="F911" s="191">
        <v>0</v>
      </c>
      <c r="G911" s="191">
        <v>0</v>
      </c>
      <c r="H911" s="191">
        <v>0</v>
      </c>
      <c r="I911" s="191">
        <v>0</v>
      </c>
      <c r="J911" s="191">
        <v>0</v>
      </c>
      <c r="K911" s="191">
        <v>0</v>
      </c>
      <c r="L911" s="193">
        <v>20886.03</v>
      </c>
      <c r="M911" s="193">
        <v>5489.28</v>
      </c>
      <c r="N911" s="191">
        <v>0</v>
      </c>
      <c r="O911" s="193">
        <v>2208.64</v>
      </c>
      <c r="P911" s="191">
        <v>0</v>
      </c>
    </row>
    <row r="912" spans="1:16" x14ac:dyDescent="0.25">
      <c r="A912" s="190">
        <v>801010402</v>
      </c>
      <c r="B912" s="190" t="s">
        <v>423</v>
      </c>
      <c r="C912" s="190">
        <v>3362</v>
      </c>
      <c r="D912" s="190" t="s">
        <v>409</v>
      </c>
      <c r="E912" s="191">
        <v>0</v>
      </c>
      <c r="F912" s="191">
        <v>0</v>
      </c>
      <c r="G912" s="191">
        <v>0</v>
      </c>
      <c r="H912" s="191">
        <v>0</v>
      </c>
      <c r="I912" s="191">
        <v>0</v>
      </c>
      <c r="J912" s="191">
        <v>0</v>
      </c>
      <c r="K912" s="191">
        <v>0</v>
      </c>
      <c r="L912" s="191">
        <v>0</v>
      </c>
      <c r="M912" s="191">
        <v>0</v>
      </c>
      <c r="N912" s="191">
        <v>0</v>
      </c>
      <c r="O912" s="193">
        <v>12219.64</v>
      </c>
      <c r="P912" s="191">
        <v>0</v>
      </c>
    </row>
    <row r="913" spans="1:16" x14ac:dyDescent="0.25">
      <c r="A913" s="190">
        <v>801010402</v>
      </c>
      <c r="B913" s="190" t="s">
        <v>423</v>
      </c>
      <c r="C913" s="190">
        <v>3362</v>
      </c>
      <c r="D913" s="190" t="s">
        <v>408</v>
      </c>
      <c r="E913" s="191">
        <v>0</v>
      </c>
      <c r="F913" s="191">
        <v>0</v>
      </c>
      <c r="G913" s="191">
        <v>0</v>
      </c>
      <c r="H913" s="193">
        <v>3016</v>
      </c>
      <c r="I913" s="191">
        <v>0</v>
      </c>
      <c r="J913" s="191">
        <v>0</v>
      </c>
      <c r="K913" s="191">
        <v>0</v>
      </c>
      <c r="L913" s="191">
        <v>0</v>
      </c>
      <c r="M913" s="193">
        <v>5489.28</v>
      </c>
      <c r="N913" s="191">
        <v>0</v>
      </c>
      <c r="O913" s="193">
        <v>2208.64</v>
      </c>
      <c r="P913" s="191">
        <v>0</v>
      </c>
    </row>
    <row r="914" spans="1:16" x14ac:dyDescent="0.25">
      <c r="A914" s="190">
        <v>801010402</v>
      </c>
      <c r="B914" s="190" t="s">
        <v>424</v>
      </c>
      <c r="C914" s="190">
        <v>3362</v>
      </c>
      <c r="D914" s="190" t="s">
        <v>409</v>
      </c>
      <c r="E914" s="191">
        <v>0</v>
      </c>
      <c r="F914" s="191">
        <v>0</v>
      </c>
      <c r="G914" s="191">
        <v>0</v>
      </c>
      <c r="H914" s="191">
        <v>0</v>
      </c>
      <c r="I914" s="191">
        <v>0</v>
      </c>
      <c r="J914" s="191">
        <v>0</v>
      </c>
      <c r="K914" s="191">
        <v>0</v>
      </c>
      <c r="L914" s="191">
        <v>0</v>
      </c>
      <c r="M914" s="191">
        <v>0</v>
      </c>
      <c r="N914" s="191">
        <v>0</v>
      </c>
      <c r="O914" s="193">
        <v>12219.64</v>
      </c>
      <c r="P914" s="191">
        <v>0</v>
      </c>
    </row>
    <row r="915" spans="1:16" x14ac:dyDescent="0.25">
      <c r="A915" s="190">
        <v>801010402</v>
      </c>
      <c r="B915" s="190" t="s">
        <v>424</v>
      </c>
      <c r="C915" s="190">
        <v>3362</v>
      </c>
      <c r="D915" s="190" t="s">
        <v>408</v>
      </c>
      <c r="E915" s="191">
        <v>0</v>
      </c>
      <c r="F915" s="191">
        <v>0</v>
      </c>
      <c r="G915" s="191">
        <v>0</v>
      </c>
      <c r="H915" s="191">
        <v>0</v>
      </c>
      <c r="I915" s="191">
        <v>0</v>
      </c>
      <c r="J915" s="191">
        <v>0</v>
      </c>
      <c r="K915" s="191">
        <v>0</v>
      </c>
      <c r="L915" s="191">
        <v>0</v>
      </c>
      <c r="M915" s="193">
        <v>5489.28</v>
      </c>
      <c r="N915" s="191">
        <v>0</v>
      </c>
      <c r="O915" s="193">
        <v>2208.64</v>
      </c>
      <c r="P915" s="191">
        <v>0</v>
      </c>
    </row>
    <row r="916" spans="1:16" x14ac:dyDescent="0.25">
      <c r="A916" s="190">
        <v>801010402</v>
      </c>
      <c r="B916" s="190" t="s">
        <v>425</v>
      </c>
      <c r="C916" s="190">
        <v>3362</v>
      </c>
      <c r="D916" s="190" t="s">
        <v>409</v>
      </c>
      <c r="E916" s="191">
        <v>0</v>
      </c>
      <c r="F916" s="191">
        <v>0</v>
      </c>
      <c r="G916" s="191">
        <v>0</v>
      </c>
      <c r="H916" s="191">
        <v>0</v>
      </c>
      <c r="I916" s="191">
        <v>0</v>
      </c>
      <c r="J916" s="191">
        <v>0</v>
      </c>
      <c r="K916" s="191">
        <v>0</v>
      </c>
      <c r="L916" s="191">
        <v>0</v>
      </c>
      <c r="M916" s="191">
        <v>0</v>
      </c>
      <c r="N916" s="191">
        <v>0</v>
      </c>
      <c r="O916" s="193">
        <v>12219.64</v>
      </c>
      <c r="P916" s="191">
        <v>0</v>
      </c>
    </row>
    <row r="917" spans="1:16" x14ac:dyDescent="0.25">
      <c r="A917" s="190">
        <v>801010402</v>
      </c>
      <c r="B917" s="190" t="s">
        <v>425</v>
      </c>
      <c r="C917" s="190">
        <v>3362</v>
      </c>
      <c r="D917" s="190" t="s">
        <v>408</v>
      </c>
      <c r="E917" s="191">
        <v>0</v>
      </c>
      <c r="F917" s="191">
        <v>0</v>
      </c>
      <c r="G917" s="191">
        <v>0</v>
      </c>
      <c r="H917" s="191">
        <v>0</v>
      </c>
      <c r="I917" s="191">
        <v>0</v>
      </c>
      <c r="J917" s="191">
        <v>0</v>
      </c>
      <c r="K917" s="191">
        <v>0</v>
      </c>
      <c r="L917" s="191">
        <v>0</v>
      </c>
      <c r="M917" s="193">
        <v>5489.28</v>
      </c>
      <c r="N917" s="191">
        <v>0</v>
      </c>
      <c r="O917" s="193">
        <v>2208.64</v>
      </c>
      <c r="P917" s="191">
        <v>0</v>
      </c>
    </row>
    <row r="918" spans="1:16" x14ac:dyDescent="0.25">
      <c r="A918" s="190">
        <v>801010402</v>
      </c>
      <c r="B918" s="190" t="s">
        <v>426</v>
      </c>
      <c r="C918" s="190">
        <v>3362</v>
      </c>
      <c r="D918" s="190" t="s">
        <v>409</v>
      </c>
      <c r="E918" s="191">
        <v>0</v>
      </c>
      <c r="F918" s="191">
        <v>0</v>
      </c>
      <c r="G918" s="191">
        <v>0</v>
      </c>
      <c r="H918" s="191">
        <v>0</v>
      </c>
      <c r="I918" s="191">
        <v>0</v>
      </c>
      <c r="J918" s="191">
        <v>0</v>
      </c>
      <c r="K918" s="191">
        <v>0</v>
      </c>
      <c r="L918" s="191">
        <v>0</v>
      </c>
      <c r="M918" s="191">
        <v>0</v>
      </c>
      <c r="N918" s="191">
        <v>0</v>
      </c>
      <c r="O918" s="193">
        <v>12219.64</v>
      </c>
      <c r="P918" s="191">
        <v>0</v>
      </c>
    </row>
    <row r="919" spans="1:16" x14ac:dyDescent="0.25">
      <c r="A919" s="190">
        <v>801010402</v>
      </c>
      <c r="B919" s="190" t="s">
        <v>426</v>
      </c>
      <c r="C919" s="190">
        <v>3362</v>
      </c>
      <c r="D919" s="190" t="s">
        <v>408</v>
      </c>
      <c r="E919" s="191">
        <v>0</v>
      </c>
      <c r="F919" s="191">
        <v>0</v>
      </c>
      <c r="G919" s="191">
        <v>0</v>
      </c>
      <c r="H919" s="191">
        <v>0</v>
      </c>
      <c r="I919" s="191">
        <v>0</v>
      </c>
      <c r="J919" s="191">
        <v>0</v>
      </c>
      <c r="K919" s="191">
        <v>0</v>
      </c>
      <c r="L919" s="191">
        <v>0</v>
      </c>
      <c r="M919" s="193">
        <v>5489.28</v>
      </c>
      <c r="N919" s="191">
        <v>0</v>
      </c>
      <c r="O919" s="193">
        <v>2208.64</v>
      </c>
      <c r="P919" s="191">
        <v>0</v>
      </c>
    </row>
    <row r="920" spans="1:16" x14ac:dyDescent="0.25">
      <c r="A920" s="190">
        <v>801010402</v>
      </c>
      <c r="B920" s="190" t="s">
        <v>427</v>
      </c>
      <c r="C920" s="190">
        <v>3362</v>
      </c>
      <c r="D920" s="190" t="s">
        <v>409</v>
      </c>
      <c r="E920" s="191">
        <v>0</v>
      </c>
      <c r="F920" s="191">
        <v>0</v>
      </c>
      <c r="G920" s="191">
        <v>0</v>
      </c>
      <c r="H920" s="191">
        <v>0</v>
      </c>
      <c r="I920" s="191">
        <v>0</v>
      </c>
      <c r="J920" s="191">
        <v>0</v>
      </c>
      <c r="K920" s="191">
        <v>0</v>
      </c>
      <c r="L920" s="191">
        <v>0</v>
      </c>
      <c r="M920" s="191">
        <v>0</v>
      </c>
      <c r="N920" s="191">
        <v>0</v>
      </c>
      <c r="O920" s="193">
        <v>12219.64</v>
      </c>
      <c r="P920" s="191">
        <v>0</v>
      </c>
    </row>
    <row r="921" spans="1:16" x14ac:dyDescent="0.25">
      <c r="A921" s="190">
        <v>801010402</v>
      </c>
      <c r="B921" s="190" t="s">
        <v>427</v>
      </c>
      <c r="C921" s="190">
        <v>3362</v>
      </c>
      <c r="D921" s="190" t="s">
        <v>408</v>
      </c>
      <c r="E921" s="191">
        <v>0</v>
      </c>
      <c r="F921" s="191">
        <v>0</v>
      </c>
      <c r="G921" s="191">
        <v>0</v>
      </c>
      <c r="H921" s="191">
        <v>0</v>
      </c>
      <c r="I921" s="191">
        <v>0</v>
      </c>
      <c r="J921" s="191">
        <v>0</v>
      </c>
      <c r="K921" s="191">
        <v>0</v>
      </c>
      <c r="L921" s="191">
        <v>0</v>
      </c>
      <c r="M921" s="193">
        <v>5489.28</v>
      </c>
      <c r="N921" s="191">
        <v>0</v>
      </c>
      <c r="O921" s="193">
        <v>2208.64</v>
      </c>
      <c r="P921" s="191">
        <v>0</v>
      </c>
    </row>
    <row r="922" spans="1:16" x14ac:dyDescent="0.25">
      <c r="A922" s="190">
        <v>801010402</v>
      </c>
      <c r="B922" s="190" t="s">
        <v>428</v>
      </c>
      <c r="C922" s="190">
        <v>3362</v>
      </c>
      <c r="D922" s="190" t="s">
        <v>409</v>
      </c>
      <c r="E922" s="191">
        <v>0</v>
      </c>
      <c r="F922" s="191">
        <v>0</v>
      </c>
      <c r="G922" s="191">
        <v>0</v>
      </c>
      <c r="H922" s="191">
        <v>0</v>
      </c>
      <c r="I922" s="191">
        <v>0</v>
      </c>
      <c r="J922" s="191">
        <v>0</v>
      </c>
      <c r="K922" s="191">
        <v>0</v>
      </c>
      <c r="L922" s="191">
        <v>0</v>
      </c>
      <c r="M922" s="191">
        <v>0</v>
      </c>
      <c r="N922" s="191">
        <v>0</v>
      </c>
      <c r="O922" s="193">
        <v>12219.64</v>
      </c>
      <c r="P922" s="191">
        <v>0</v>
      </c>
    </row>
    <row r="923" spans="1:16" x14ac:dyDescent="0.25">
      <c r="A923" s="190">
        <v>801010402</v>
      </c>
      <c r="B923" s="190" t="s">
        <v>428</v>
      </c>
      <c r="C923" s="190">
        <v>3362</v>
      </c>
      <c r="D923" s="190" t="s">
        <v>408</v>
      </c>
      <c r="E923" s="191">
        <v>0</v>
      </c>
      <c r="F923" s="191">
        <v>0</v>
      </c>
      <c r="G923" s="191">
        <v>0</v>
      </c>
      <c r="H923" s="191">
        <v>0</v>
      </c>
      <c r="I923" s="191">
        <v>0</v>
      </c>
      <c r="J923" s="191">
        <v>0</v>
      </c>
      <c r="K923" s="191">
        <v>0</v>
      </c>
      <c r="L923" s="191">
        <v>0</v>
      </c>
      <c r="M923" s="193">
        <v>5489.28</v>
      </c>
      <c r="N923" s="191">
        <v>0</v>
      </c>
      <c r="O923" s="193">
        <v>2208.64</v>
      </c>
      <c r="P923" s="191">
        <v>0</v>
      </c>
    </row>
    <row r="924" spans="1:16" x14ac:dyDescent="0.25">
      <c r="A924" s="190">
        <v>801010402</v>
      </c>
      <c r="B924" s="190" t="s">
        <v>429</v>
      </c>
      <c r="C924" s="190">
        <v>3362</v>
      </c>
      <c r="D924" s="190" t="s">
        <v>409</v>
      </c>
      <c r="E924" s="191">
        <v>0</v>
      </c>
      <c r="F924" s="191">
        <v>0</v>
      </c>
      <c r="G924" s="191">
        <v>0</v>
      </c>
      <c r="H924" s="191">
        <v>0</v>
      </c>
      <c r="I924" s="191">
        <v>0</v>
      </c>
      <c r="J924" s="191">
        <v>0</v>
      </c>
      <c r="K924" s="191">
        <v>0</v>
      </c>
      <c r="L924" s="191">
        <v>0</v>
      </c>
      <c r="M924" s="191">
        <v>0</v>
      </c>
      <c r="N924" s="191">
        <v>0</v>
      </c>
      <c r="O924" s="193">
        <v>12219.64</v>
      </c>
      <c r="P924" s="191">
        <v>0</v>
      </c>
    </row>
    <row r="925" spans="1:16" x14ac:dyDescent="0.25">
      <c r="A925" s="190">
        <v>801010402</v>
      </c>
      <c r="B925" s="190" t="s">
        <v>429</v>
      </c>
      <c r="C925" s="190">
        <v>3362</v>
      </c>
      <c r="D925" s="190" t="s">
        <v>408</v>
      </c>
      <c r="E925" s="191">
        <v>0</v>
      </c>
      <c r="F925" s="191">
        <v>0</v>
      </c>
      <c r="G925" s="191">
        <v>0</v>
      </c>
      <c r="H925" s="191">
        <v>0</v>
      </c>
      <c r="I925" s="191">
        <v>0</v>
      </c>
      <c r="J925" s="191">
        <v>0</v>
      </c>
      <c r="K925" s="191">
        <v>0</v>
      </c>
      <c r="L925" s="191">
        <v>0</v>
      </c>
      <c r="M925" s="193">
        <v>5489.28</v>
      </c>
      <c r="N925" s="191">
        <v>0</v>
      </c>
      <c r="O925" s="193">
        <v>2208.64</v>
      </c>
      <c r="P925" s="191">
        <v>0</v>
      </c>
    </row>
    <row r="926" spans="1:16" x14ac:dyDescent="0.25">
      <c r="A926" s="190">
        <v>801010402</v>
      </c>
      <c r="B926" s="190" t="s">
        <v>430</v>
      </c>
      <c r="C926" s="190">
        <v>3362</v>
      </c>
      <c r="D926" s="190" t="s">
        <v>409</v>
      </c>
      <c r="E926" s="191">
        <v>0</v>
      </c>
      <c r="F926" s="191">
        <v>0</v>
      </c>
      <c r="G926" s="191">
        <v>0</v>
      </c>
      <c r="H926" s="191">
        <v>0</v>
      </c>
      <c r="I926" s="191">
        <v>0</v>
      </c>
      <c r="J926" s="191">
        <v>0</v>
      </c>
      <c r="K926" s="191">
        <v>0</v>
      </c>
      <c r="L926" s="191">
        <v>0</v>
      </c>
      <c r="M926" s="191">
        <v>0</v>
      </c>
      <c r="N926" s="191">
        <v>0</v>
      </c>
      <c r="O926" s="193">
        <v>12219.64</v>
      </c>
      <c r="P926" s="191">
        <v>0</v>
      </c>
    </row>
    <row r="927" spans="1:16" x14ac:dyDescent="0.25">
      <c r="A927" s="190">
        <v>801010402</v>
      </c>
      <c r="B927" s="190" t="s">
        <v>430</v>
      </c>
      <c r="C927" s="190">
        <v>3362</v>
      </c>
      <c r="D927" s="190" t="s">
        <v>408</v>
      </c>
      <c r="E927" s="191">
        <v>0</v>
      </c>
      <c r="F927" s="191">
        <v>0</v>
      </c>
      <c r="G927" s="191">
        <v>0</v>
      </c>
      <c r="H927" s="191">
        <v>0</v>
      </c>
      <c r="I927" s="191">
        <v>0</v>
      </c>
      <c r="J927" s="191">
        <v>0</v>
      </c>
      <c r="K927" s="191">
        <v>0</v>
      </c>
      <c r="L927" s="191">
        <v>0</v>
      </c>
      <c r="M927" s="193">
        <v>5489.28</v>
      </c>
      <c r="N927" s="191">
        <v>0</v>
      </c>
      <c r="O927" s="193">
        <v>2208.64</v>
      </c>
      <c r="P927" s="191">
        <v>0</v>
      </c>
    </row>
    <row r="928" spans="1:16" x14ac:dyDescent="0.25">
      <c r="A928" s="190">
        <v>801010402</v>
      </c>
      <c r="B928" s="190" t="s">
        <v>431</v>
      </c>
      <c r="C928" s="190">
        <v>3362</v>
      </c>
      <c r="D928" s="190" t="s">
        <v>409</v>
      </c>
      <c r="E928" s="191">
        <v>0</v>
      </c>
      <c r="F928" s="191">
        <v>0</v>
      </c>
      <c r="G928" s="191">
        <v>0</v>
      </c>
      <c r="H928" s="191">
        <v>0</v>
      </c>
      <c r="I928" s="191">
        <v>0</v>
      </c>
      <c r="J928" s="191">
        <v>0</v>
      </c>
      <c r="K928" s="191">
        <v>0</v>
      </c>
      <c r="L928" s="191">
        <v>0</v>
      </c>
      <c r="M928" s="191">
        <v>0</v>
      </c>
      <c r="N928" s="191">
        <v>0</v>
      </c>
      <c r="O928" s="193">
        <v>12219.64</v>
      </c>
      <c r="P928" s="191">
        <v>0</v>
      </c>
    </row>
    <row r="929" spans="1:16" x14ac:dyDescent="0.25">
      <c r="A929" s="190">
        <v>801010402</v>
      </c>
      <c r="B929" s="190" t="s">
        <v>431</v>
      </c>
      <c r="C929" s="190">
        <v>3362</v>
      </c>
      <c r="D929" s="190" t="s">
        <v>408</v>
      </c>
      <c r="E929" s="191">
        <v>0</v>
      </c>
      <c r="F929" s="191">
        <v>0</v>
      </c>
      <c r="G929" s="191">
        <v>0</v>
      </c>
      <c r="H929" s="191">
        <v>0</v>
      </c>
      <c r="I929" s="191">
        <v>0</v>
      </c>
      <c r="J929" s="191">
        <v>0</v>
      </c>
      <c r="K929" s="191">
        <v>0</v>
      </c>
      <c r="L929" s="193">
        <v>20886.03</v>
      </c>
      <c r="M929" s="193">
        <v>5489.28</v>
      </c>
      <c r="N929" s="191">
        <v>0</v>
      </c>
      <c r="O929" s="193">
        <v>2208.64</v>
      </c>
      <c r="P929" s="191">
        <v>0</v>
      </c>
    </row>
    <row r="930" spans="1:16" x14ac:dyDescent="0.25">
      <c r="A930" s="190">
        <v>801010402</v>
      </c>
      <c r="B930" s="190" t="s">
        <v>432</v>
      </c>
      <c r="C930" s="190">
        <v>3362</v>
      </c>
      <c r="D930" s="190" t="s">
        <v>409</v>
      </c>
      <c r="E930" s="191">
        <v>0</v>
      </c>
      <c r="F930" s="191">
        <v>0</v>
      </c>
      <c r="G930" s="191">
        <v>0</v>
      </c>
      <c r="H930" s="191">
        <v>0</v>
      </c>
      <c r="I930" s="191">
        <v>0</v>
      </c>
      <c r="J930" s="191">
        <v>0</v>
      </c>
      <c r="K930" s="191">
        <v>0</v>
      </c>
      <c r="L930" s="191">
        <v>0</v>
      </c>
      <c r="M930" s="191">
        <v>0</v>
      </c>
      <c r="N930" s="191">
        <v>0</v>
      </c>
      <c r="O930" s="193">
        <v>12219.64</v>
      </c>
      <c r="P930" s="191">
        <v>0</v>
      </c>
    </row>
    <row r="931" spans="1:16" x14ac:dyDescent="0.25">
      <c r="A931" s="190">
        <v>801010402</v>
      </c>
      <c r="B931" s="190" t="s">
        <v>432</v>
      </c>
      <c r="C931" s="190">
        <v>3362</v>
      </c>
      <c r="D931" s="190" t="s">
        <v>408</v>
      </c>
      <c r="E931" s="191">
        <v>0</v>
      </c>
      <c r="F931" s="191">
        <v>0</v>
      </c>
      <c r="G931" s="191">
        <v>0</v>
      </c>
      <c r="H931" s="191">
        <v>0</v>
      </c>
      <c r="I931" s="191">
        <v>0</v>
      </c>
      <c r="J931" s="191">
        <v>0</v>
      </c>
      <c r="K931" s="191">
        <v>0</v>
      </c>
      <c r="L931" s="193">
        <v>20886.03</v>
      </c>
      <c r="M931" s="193">
        <v>5489.28</v>
      </c>
      <c r="N931" s="191">
        <v>0</v>
      </c>
      <c r="O931" s="193">
        <v>2208.64</v>
      </c>
      <c r="P931" s="191">
        <v>0</v>
      </c>
    </row>
    <row r="932" spans="1:16" x14ac:dyDescent="0.25">
      <c r="A932" s="190">
        <v>801010402</v>
      </c>
      <c r="B932" s="190" t="s">
        <v>433</v>
      </c>
      <c r="C932" s="190">
        <v>3362</v>
      </c>
      <c r="D932" s="190" t="s">
        <v>409</v>
      </c>
      <c r="E932" s="191">
        <v>0</v>
      </c>
      <c r="F932" s="191">
        <v>0</v>
      </c>
      <c r="G932" s="191">
        <v>0</v>
      </c>
      <c r="H932" s="191">
        <v>0</v>
      </c>
      <c r="I932" s="191">
        <v>0</v>
      </c>
      <c r="J932" s="191">
        <v>0</v>
      </c>
      <c r="K932" s="191">
        <v>0</v>
      </c>
      <c r="L932" s="191">
        <v>0</v>
      </c>
      <c r="M932" s="191">
        <v>0</v>
      </c>
      <c r="N932" s="191">
        <v>0</v>
      </c>
      <c r="O932" s="193">
        <v>12219.64</v>
      </c>
      <c r="P932" s="191">
        <v>0</v>
      </c>
    </row>
    <row r="933" spans="1:16" x14ac:dyDescent="0.25">
      <c r="A933" s="190">
        <v>801010402</v>
      </c>
      <c r="B933" s="190" t="s">
        <v>433</v>
      </c>
      <c r="C933" s="190">
        <v>3362</v>
      </c>
      <c r="D933" s="190" t="s">
        <v>408</v>
      </c>
      <c r="E933" s="191">
        <v>0</v>
      </c>
      <c r="F933" s="191">
        <v>0</v>
      </c>
      <c r="G933" s="191">
        <v>0</v>
      </c>
      <c r="H933" s="191">
        <v>0</v>
      </c>
      <c r="I933" s="191">
        <v>0</v>
      </c>
      <c r="J933" s="191">
        <v>0</v>
      </c>
      <c r="K933" s="191">
        <v>0</v>
      </c>
      <c r="L933" s="191">
        <v>0</v>
      </c>
      <c r="M933" s="193">
        <v>5489.28</v>
      </c>
      <c r="N933" s="191">
        <v>0</v>
      </c>
      <c r="O933" s="193">
        <v>2208.64</v>
      </c>
      <c r="P933" s="191">
        <v>0</v>
      </c>
    </row>
    <row r="934" spans="1:16" x14ac:dyDescent="0.25">
      <c r="A934" s="190">
        <v>801010402</v>
      </c>
      <c r="B934" s="190" t="s">
        <v>434</v>
      </c>
      <c r="C934" s="190">
        <v>3362</v>
      </c>
      <c r="D934" s="190" t="s">
        <v>409</v>
      </c>
      <c r="E934" s="191">
        <v>0</v>
      </c>
      <c r="F934" s="191">
        <v>0</v>
      </c>
      <c r="G934" s="191">
        <v>0</v>
      </c>
      <c r="H934" s="191">
        <v>0</v>
      </c>
      <c r="I934" s="191">
        <v>0</v>
      </c>
      <c r="J934" s="191">
        <v>0</v>
      </c>
      <c r="K934" s="191">
        <v>0</v>
      </c>
      <c r="L934" s="191">
        <v>0</v>
      </c>
      <c r="M934" s="191">
        <v>0</v>
      </c>
      <c r="N934" s="191">
        <v>0</v>
      </c>
      <c r="O934" s="193">
        <v>12219.64</v>
      </c>
      <c r="P934" s="191">
        <v>0</v>
      </c>
    </row>
    <row r="935" spans="1:16" x14ac:dyDescent="0.25">
      <c r="A935" s="190">
        <v>801010402</v>
      </c>
      <c r="B935" s="190" t="s">
        <v>434</v>
      </c>
      <c r="C935" s="190">
        <v>3362</v>
      </c>
      <c r="D935" s="190" t="s">
        <v>408</v>
      </c>
      <c r="E935" s="191">
        <v>0</v>
      </c>
      <c r="F935" s="191">
        <v>0</v>
      </c>
      <c r="G935" s="191">
        <v>0</v>
      </c>
      <c r="H935" s="191">
        <v>0</v>
      </c>
      <c r="I935" s="191">
        <v>0</v>
      </c>
      <c r="J935" s="191">
        <v>0</v>
      </c>
      <c r="K935" s="191">
        <v>0</v>
      </c>
      <c r="L935" s="191">
        <v>0</v>
      </c>
      <c r="M935" s="193">
        <v>5489.28</v>
      </c>
      <c r="N935" s="191">
        <v>0</v>
      </c>
      <c r="O935" s="193">
        <v>2208.64</v>
      </c>
      <c r="P935" s="191">
        <v>0</v>
      </c>
    </row>
    <row r="936" spans="1:16" x14ac:dyDescent="0.25">
      <c r="A936" s="190">
        <v>801010402</v>
      </c>
      <c r="B936" s="190" t="s">
        <v>435</v>
      </c>
      <c r="C936" s="190">
        <v>3362</v>
      </c>
      <c r="D936" s="190" t="s">
        <v>409</v>
      </c>
      <c r="E936" s="191">
        <v>0</v>
      </c>
      <c r="F936" s="191">
        <v>0</v>
      </c>
      <c r="G936" s="191">
        <v>0</v>
      </c>
      <c r="H936" s="191">
        <v>0</v>
      </c>
      <c r="I936" s="191">
        <v>0</v>
      </c>
      <c r="J936" s="191">
        <v>0</v>
      </c>
      <c r="K936" s="191">
        <v>0</v>
      </c>
      <c r="L936" s="191">
        <v>0</v>
      </c>
      <c r="M936" s="191">
        <v>0</v>
      </c>
      <c r="N936" s="191">
        <v>0</v>
      </c>
      <c r="O936" s="193">
        <v>12219.64</v>
      </c>
      <c r="P936" s="191">
        <v>0</v>
      </c>
    </row>
    <row r="937" spans="1:16" x14ac:dyDescent="0.25">
      <c r="A937" s="190">
        <v>801010402</v>
      </c>
      <c r="B937" s="190" t="s">
        <v>435</v>
      </c>
      <c r="C937" s="190">
        <v>3362</v>
      </c>
      <c r="D937" s="190" t="s">
        <v>408</v>
      </c>
      <c r="E937" s="191">
        <v>0</v>
      </c>
      <c r="F937" s="191">
        <v>0</v>
      </c>
      <c r="G937" s="191">
        <v>0</v>
      </c>
      <c r="H937" s="191">
        <v>0</v>
      </c>
      <c r="I937" s="191">
        <v>0</v>
      </c>
      <c r="J937" s="191">
        <v>0</v>
      </c>
      <c r="K937" s="191">
        <v>0</v>
      </c>
      <c r="L937" s="191">
        <v>0</v>
      </c>
      <c r="M937" s="193">
        <v>5489.28</v>
      </c>
      <c r="N937" s="191">
        <v>0</v>
      </c>
      <c r="O937" s="193">
        <v>2208.64</v>
      </c>
      <c r="P937" s="191">
        <v>0</v>
      </c>
    </row>
    <row r="938" spans="1:16" x14ac:dyDescent="0.25">
      <c r="A938" s="190">
        <v>801010402</v>
      </c>
      <c r="B938" s="190" t="s">
        <v>436</v>
      </c>
      <c r="C938" s="190">
        <v>3362</v>
      </c>
      <c r="D938" s="190" t="s">
        <v>409</v>
      </c>
      <c r="E938" s="191">
        <v>0</v>
      </c>
      <c r="F938" s="191">
        <v>0</v>
      </c>
      <c r="G938" s="191">
        <v>0</v>
      </c>
      <c r="H938" s="191">
        <v>0</v>
      </c>
      <c r="I938" s="191">
        <v>0</v>
      </c>
      <c r="J938" s="191">
        <v>0</v>
      </c>
      <c r="K938" s="191">
        <v>0</v>
      </c>
      <c r="L938" s="191">
        <v>0</v>
      </c>
      <c r="M938" s="191">
        <v>0</v>
      </c>
      <c r="N938" s="191">
        <v>0</v>
      </c>
      <c r="O938" s="193">
        <v>12219.64</v>
      </c>
      <c r="P938" s="191">
        <v>0</v>
      </c>
    </row>
    <row r="939" spans="1:16" x14ac:dyDescent="0.25">
      <c r="A939" s="190">
        <v>801010402</v>
      </c>
      <c r="B939" s="190" t="s">
        <v>436</v>
      </c>
      <c r="C939" s="190">
        <v>3362</v>
      </c>
      <c r="D939" s="190" t="s">
        <v>408</v>
      </c>
      <c r="E939" s="191">
        <v>0</v>
      </c>
      <c r="F939" s="191">
        <v>0</v>
      </c>
      <c r="G939" s="191">
        <v>0</v>
      </c>
      <c r="H939" s="191">
        <v>0</v>
      </c>
      <c r="I939" s="191">
        <v>0</v>
      </c>
      <c r="J939" s="191">
        <v>0</v>
      </c>
      <c r="K939" s="191">
        <v>0</v>
      </c>
      <c r="L939" s="191">
        <v>0</v>
      </c>
      <c r="M939" s="193">
        <v>5489.28</v>
      </c>
      <c r="N939" s="191">
        <v>0</v>
      </c>
      <c r="O939" s="193">
        <v>2208.64</v>
      </c>
      <c r="P939" s="191">
        <v>0</v>
      </c>
    </row>
    <row r="940" spans="1:16" x14ac:dyDescent="0.25">
      <c r="A940" s="190">
        <v>801010402</v>
      </c>
      <c r="B940" s="190" t="s">
        <v>437</v>
      </c>
      <c r="C940" s="190">
        <v>3362</v>
      </c>
      <c r="D940" s="190" t="s">
        <v>408</v>
      </c>
      <c r="E940" s="191">
        <v>0</v>
      </c>
      <c r="F940" s="191">
        <v>0</v>
      </c>
      <c r="G940" s="191">
        <v>0</v>
      </c>
      <c r="H940" s="191">
        <v>0</v>
      </c>
      <c r="I940" s="191">
        <v>0</v>
      </c>
      <c r="J940" s="191">
        <v>0</v>
      </c>
      <c r="K940" s="191">
        <v>0</v>
      </c>
      <c r="L940" s="191">
        <v>0</v>
      </c>
      <c r="M940" s="191">
        <v>0</v>
      </c>
      <c r="N940" s="191">
        <v>0</v>
      </c>
      <c r="O940" s="193">
        <v>2208.64</v>
      </c>
      <c r="P940" s="191">
        <v>0</v>
      </c>
    </row>
    <row r="941" spans="1:16" x14ac:dyDescent="0.25">
      <c r="A941" s="190">
        <v>801010402</v>
      </c>
      <c r="B941" s="190" t="s">
        <v>407</v>
      </c>
      <c r="C941" s="190">
        <v>3363</v>
      </c>
      <c r="D941" s="190" t="s">
        <v>408</v>
      </c>
      <c r="E941" s="191">
        <v>0</v>
      </c>
      <c r="F941" s="191">
        <v>0</v>
      </c>
      <c r="G941" s="191">
        <v>0</v>
      </c>
      <c r="H941" s="191">
        <v>0</v>
      </c>
      <c r="I941" s="193">
        <v>93728</v>
      </c>
      <c r="J941" s="193">
        <v>24624</v>
      </c>
      <c r="K941" s="191">
        <v>0</v>
      </c>
      <c r="L941" s="191">
        <v>0</v>
      </c>
      <c r="M941" s="191">
        <v>0</v>
      </c>
      <c r="N941" s="191">
        <v>0</v>
      </c>
      <c r="O941" s="191">
        <v>0</v>
      </c>
      <c r="P941" s="191">
        <v>0</v>
      </c>
    </row>
    <row r="942" spans="1:16" x14ac:dyDescent="0.25">
      <c r="A942" s="190">
        <v>801010402</v>
      </c>
      <c r="B942" s="190" t="s">
        <v>431</v>
      </c>
      <c r="C942" s="190">
        <v>3363</v>
      </c>
      <c r="D942" s="190" t="s">
        <v>408</v>
      </c>
      <c r="E942" s="191">
        <v>0</v>
      </c>
      <c r="F942" s="193">
        <v>3132</v>
      </c>
      <c r="G942" s="191">
        <v>0</v>
      </c>
      <c r="H942" s="191">
        <v>0</v>
      </c>
      <c r="I942" s="191">
        <v>0</v>
      </c>
      <c r="J942" s="191">
        <v>0</v>
      </c>
      <c r="K942" s="191">
        <v>0</v>
      </c>
      <c r="L942" s="191">
        <v>0</v>
      </c>
      <c r="M942" s="191">
        <v>0</v>
      </c>
      <c r="N942" s="191">
        <v>0</v>
      </c>
      <c r="O942" s="191">
        <v>0</v>
      </c>
      <c r="P942" s="191">
        <v>0</v>
      </c>
    </row>
    <row r="943" spans="1:16" x14ac:dyDescent="0.25">
      <c r="A943" s="190">
        <v>801010402</v>
      </c>
      <c r="B943" s="190" t="s">
        <v>407</v>
      </c>
      <c r="C943" s="190">
        <v>3381</v>
      </c>
      <c r="D943" s="190" t="s">
        <v>408</v>
      </c>
      <c r="E943" s="191">
        <v>0</v>
      </c>
      <c r="F943" s="193">
        <v>87798</v>
      </c>
      <c r="G943" s="191">
        <v>0</v>
      </c>
      <c r="H943" s="193">
        <v>59688.9</v>
      </c>
      <c r="I943" s="193">
        <v>44125.2</v>
      </c>
      <c r="J943" s="191">
        <v>0</v>
      </c>
      <c r="K943" s="193">
        <v>109002</v>
      </c>
      <c r="L943" s="193">
        <v>109002</v>
      </c>
      <c r="M943" s="191">
        <v>0</v>
      </c>
      <c r="N943" s="193">
        <v>54501</v>
      </c>
      <c r="O943" s="193">
        <v>129753.60000000001</v>
      </c>
      <c r="P943" s="193">
        <v>75252.600000000006</v>
      </c>
    </row>
    <row r="944" spans="1:16" x14ac:dyDescent="0.25">
      <c r="A944" s="190">
        <v>801010402</v>
      </c>
      <c r="B944" s="190" t="s">
        <v>410</v>
      </c>
      <c r="C944" s="190">
        <v>3381</v>
      </c>
      <c r="D944" s="190" t="s">
        <v>409</v>
      </c>
      <c r="E944" s="191">
        <v>0</v>
      </c>
      <c r="F944" s="191">
        <v>0</v>
      </c>
      <c r="G944" s="191">
        <v>0</v>
      </c>
      <c r="H944" s="191">
        <v>0</v>
      </c>
      <c r="I944" s="191">
        <v>0</v>
      </c>
      <c r="J944" s="191">
        <v>0</v>
      </c>
      <c r="K944" s="191">
        <v>0</v>
      </c>
      <c r="L944" s="193">
        <v>44861.84</v>
      </c>
      <c r="M944" s="191">
        <v>0</v>
      </c>
      <c r="N944" s="191">
        <v>0</v>
      </c>
      <c r="O944" s="193">
        <v>44861.84</v>
      </c>
      <c r="P944" s="191">
        <v>0</v>
      </c>
    </row>
    <row r="945" spans="1:16" x14ac:dyDescent="0.25">
      <c r="A945" s="190">
        <v>801010402</v>
      </c>
      <c r="B945" s="190" t="s">
        <v>410</v>
      </c>
      <c r="C945" s="190">
        <v>3381</v>
      </c>
      <c r="D945" s="190" t="s">
        <v>408</v>
      </c>
      <c r="E945" s="191">
        <v>0</v>
      </c>
      <c r="F945" s="191">
        <v>0</v>
      </c>
      <c r="G945" s="193">
        <v>89723.68</v>
      </c>
      <c r="H945" s="193">
        <v>44861.84</v>
      </c>
      <c r="I945" s="193">
        <v>44861.84</v>
      </c>
      <c r="J945" s="191">
        <v>0</v>
      </c>
      <c r="K945" s="193">
        <v>89723.68</v>
      </c>
      <c r="L945" s="193">
        <v>44861.84</v>
      </c>
      <c r="M945" s="191">
        <v>0</v>
      </c>
      <c r="N945" s="193">
        <v>44861.84</v>
      </c>
      <c r="O945" s="193">
        <v>44861.84</v>
      </c>
      <c r="P945" s="193">
        <v>44861.84</v>
      </c>
    </row>
    <row r="946" spans="1:16" x14ac:dyDescent="0.25">
      <c r="A946" s="190">
        <v>801010402</v>
      </c>
      <c r="B946" s="190" t="s">
        <v>411</v>
      </c>
      <c r="C946" s="190">
        <v>3381</v>
      </c>
      <c r="D946" s="190" t="s">
        <v>409</v>
      </c>
      <c r="E946" s="191">
        <v>0</v>
      </c>
      <c r="F946" s="191">
        <v>0</v>
      </c>
      <c r="G946" s="191">
        <v>0</v>
      </c>
      <c r="H946" s="191">
        <v>0</v>
      </c>
      <c r="I946" s="191">
        <v>0</v>
      </c>
      <c r="J946" s="191">
        <v>0</v>
      </c>
      <c r="K946" s="191">
        <v>0</v>
      </c>
      <c r="L946" s="193">
        <v>44861.84</v>
      </c>
      <c r="M946" s="191">
        <v>0</v>
      </c>
      <c r="N946" s="191">
        <v>0</v>
      </c>
      <c r="O946" s="193">
        <v>44861.84</v>
      </c>
      <c r="P946" s="191">
        <v>0</v>
      </c>
    </row>
    <row r="947" spans="1:16" x14ac:dyDescent="0.25">
      <c r="A947" s="190">
        <v>801010402</v>
      </c>
      <c r="B947" s="190" t="s">
        <v>411</v>
      </c>
      <c r="C947" s="190">
        <v>3381</v>
      </c>
      <c r="D947" s="190" t="s">
        <v>408</v>
      </c>
      <c r="E947" s="191">
        <v>0</v>
      </c>
      <c r="F947" s="191">
        <v>0</v>
      </c>
      <c r="G947" s="193">
        <v>67292.759999999995</v>
      </c>
      <c r="H947" s="193">
        <v>33646.379999999997</v>
      </c>
      <c r="I947" s="193">
        <v>33646.379999999997</v>
      </c>
      <c r="J947" s="191">
        <v>0</v>
      </c>
      <c r="K947" s="193">
        <v>78508.22</v>
      </c>
      <c r="L947" s="193">
        <v>44861.84</v>
      </c>
      <c r="M947" s="191">
        <v>0</v>
      </c>
      <c r="N947" s="191">
        <v>0</v>
      </c>
      <c r="O947" s="193">
        <v>44861.84</v>
      </c>
      <c r="P947" s="193">
        <v>44861.84</v>
      </c>
    </row>
    <row r="948" spans="1:16" x14ac:dyDescent="0.25">
      <c r="A948" s="190">
        <v>801010402</v>
      </c>
      <c r="B948" s="190" t="s">
        <v>412</v>
      </c>
      <c r="C948" s="190">
        <v>3381</v>
      </c>
      <c r="D948" s="190" t="s">
        <v>409</v>
      </c>
      <c r="E948" s="191">
        <v>0</v>
      </c>
      <c r="F948" s="191">
        <v>0</v>
      </c>
      <c r="G948" s="191">
        <v>0</v>
      </c>
      <c r="H948" s="191">
        <v>0</v>
      </c>
      <c r="I948" s="191">
        <v>0</v>
      </c>
      <c r="J948" s="191">
        <v>0</v>
      </c>
      <c r="K948" s="191">
        <v>0</v>
      </c>
      <c r="L948" s="193">
        <v>44861.84</v>
      </c>
      <c r="M948" s="191">
        <v>0</v>
      </c>
      <c r="N948" s="191">
        <v>0</v>
      </c>
      <c r="O948" s="193">
        <v>44861.84</v>
      </c>
      <c r="P948" s="191">
        <v>0</v>
      </c>
    </row>
    <row r="949" spans="1:16" x14ac:dyDescent="0.25">
      <c r="A949" s="190">
        <v>801010402</v>
      </c>
      <c r="B949" s="190" t="s">
        <v>412</v>
      </c>
      <c r="C949" s="190">
        <v>3381</v>
      </c>
      <c r="D949" s="190" t="s">
        <v>408</v>
      </c>
      <c r="E949" s="191">
        <v>0</v>
      </c>
      <c r="F949" s="191">
        <v>0</v>
      </c>
      <c r="G949" s="193">
        <v>67292.759999999995</v>
      </c>
      <c r="H949" s="193">
        <v>44861.84</v>
      </c>
      <c r="I949" s="193">
        <v>44861.84</v>
      </c>
      <c r="J949" s="191">
        <v>0</v>
      </c>
      <c r="K949" s="193">
        <v>89723.68</v>
      </c>
      <c r="L949" s="193">
        <v>44861.84</v>
      </c>
      <c r="M949" s="191">
        <v>0</v>
      </c>
      <c r="N949" s="193">
        <v>44861.84</v>
      </c>
      <c r="O949" s="193">
        <v>44861.84</v>
      </c>
      <c r="P949" s="193">
        <v>44861.84</v>
      </c>
    </row>
    <row r="950" spans="1:16" x14ac:dyDescent="0.25">
      <c r="A950" s="190">
        <v>801010402</v>
      </c>
      <c r="B950" s="190" t="s">
        <v>413</v>
      </c>
      <c r="C950" s="190">
        <v>3381</v>
      </c>
      <c r="D950" s="190" t="s">
        <v>409</v>
      </c>
      <c r="E950" s="191">
        <v>0</v>
      </c>
      <c r="F950" s="191">
        <v>0</v>
      </c>
      <c r="G950" s="191">
        <v>0</v>
      </c>
      <c r="H950" s="191">
        <v>0</v>
      </c>
      <c r="I950" s="191">
        <v>0</v>
      </c>
      <c r="J950" s="191">
        <v>0</v>
      </c>
      <c r="K950" s="191">
        <v>0</v>
      </c>
      <c r="L950" s="193">
        <v>22430.92</v>
      </c>
      <c r="M950" s="191">
        <v>0</v>
      </c>
      <c r="N950" s="191">
        <v>0</v>
      </c>
      <c r="O950" s="193">
        <v>22430.92</v>
      </c>
      <c r="P950" s="191">
        <v>0</v>
      </c>
    </row>
    <row r="951" spans="1:16" x14ac:dyDescent="0.25">
      <c r="A951" s="190">
        <v>801010402</v>
      </c>
      <c r="B951" s="190" t="s">
        <v>413</v>
      </c>
      <c r="C951" s="190">
        <v>3381</v>
      </c>
      <c r="D951" s="190" t="s">
        <v>408</v>
      </c>
      <c r="E951" s="191">
        <v>0</v>
      </c>
      <c r="F951" s="191">
        <v>0</v>
      </c>
      <c r="G951" s="193">
        <v>44861.84</v>
      </c>
      <c r="H951" s="193">
        <v>22430.92</v>
      </c>
      <c r="I951" s="193">
        <v>22430.92</v>
      </c>
      <c r="J951" s="191">
        <v>0</v>
      </c>
      <c r="K951" s="193">
        <v>44861.84</v>
      </c>
      <c r="L951" s="193">
        <v>22430.92</v>
      </c>
      <c r="M951" s="191">
        <v>0</v>
      </c>
      <c r="N951" s="193">
        <v>22430.92</v>
      </c>
      <c r="O951" s="193">
        <v>22430.92</v>
      </c>
      <c r="P951" s="193">
        <v>22430.92</v>
      </c>
    </row>
    <row r="952" spans="1:16" x14ac:dyDescent="0.25">
      <c r="A952" s="190">
        <v>801010402</v>
      </c>
      <c r="B952" s="190" t="s">
        <v>414</v>
      </c>
      <c r="C952" s="190">
        <v>3381</v>
      </c>
      <c r="D952" s="190" t="s">
        <v>409</v>
      </c>
      <c r="E952" s="191">
        <v>0</v>
      </c>
      <c r="F952" s="191">
        <v>0</v>
      </c>
      <c r="G952" s="191">
        <v>0</v>
      </c>
      <c r="H952" s="191">
        <v>0</v>
      </c>
      <c r="I952" s="191">
        <v>0</v>
      </c>
      <c r="J952" s="191">
        <v>0</v>
      </c>
      <c r="K952" s="191">
        <v>0</v>
      </c>
      <c r="L952" s="193">
        <v>33646.379999999997</v>
      </c>
      <c r="M952" s="191">
        <v>0</v>
      </c>
      <c r="N952" s="191">
        <v>0</v>
      </c>
      <c r="O952" s="193">
        <v>33646.379999999997</v>
      </c>
      <c r="P952" s="191">
        <v>0</v>
      </c>
    </row>
    <row r="953" spans="1:16" x14ac:dyDescent="0.25">
      <c r="A953" s="190">
        <v>801010402</v>
      </c>
      <c r="B953" s="190" t="s">
        <v>414</v>
      </c>
      <c r="C953" s="190">
        <v>3381</v>
      </c>
      <c r="D953" s="190" t="s">
        <v>408</v>
      </c>
      <c r="E953" s="191">
        <v>0</v>
      </c>
      <c r="F953" s="191">
        <v>0</v>
      </c>
      <c r="G953" s="193">
        <v>65848.5</v>
      </c>
      <c r="H953" s="193">
        <v>33646.379999999997</v>
      </c>
      <c r="I953" s="193">
        <v>33646.379999999997</v>
      </c>
      <c r="J953" s="191">
        <v>0</v>
      </c>
      <c r="K953" s="193">
        <v>67292.759999999995</v>
      </c>
      <c r="L953" s="193">
        <v>33646.379999999997</v>
      </c>
      <c r="M953" s="191">
        <v>0</v>
      </c>
      <c r="N953" s="193">
        <v>33646.379999999997</v>
      </c>
      <c r="O953" s="193">
        <v>33646.379999999997</v>
      </c>
      <c r="P953" s="193">
        <v>33646.379999999997</v>
      </c>
    </row>
    <row r="954" spans="1:16" x14ac:dyDescent="0.25">
      <c r="A954" s="190">
        <v>801010402</v>
      </c>
      <c r="B954" s="190" t="s">
        <v>415</v>
      </c>
      <c r="C954" s="190">
        <v>3381</v>
      </c>
      <c r="D954" s="190" t="s">
        <v>409</v>
      </c>
      <c r="E954" s="191">
        <v>0</v>
      </c>
      <c r="F954" s="191">
        <v>0</v>
      </c>
      <c r="G954" s="191">
        <v>0</v>
      </c>
      <c r="H954" s="191">
        <v>0</v>
      </c>
      <c r="I954" s="191">
        <v>0</v>
      </c>
      <c r="J954" s="191">
        <v>0</v>
      </c>
      <c r="K954" s="191">
        <v>0</v>
      </c>
      <c r="L954" s="193">
        <v>22430.92</v>
      </c>
      <c r="M954" s="191">
        <v>0</v>
      </c>
      <c r="N954" s="191">
        <v>0</v>
      </c>
      <c r="O954" s="193">
        <v>22430.92</v>
      </c>
      <c r="P954" s="191">
        <v>0</v>
      </c>
    </row>
    <row r="955" spans="1:16" x14ac:dyDescent="0.25">
      <c r="A955" s="190">
        <v>801010402</v>
      </c>
      <c r="B955" s="190" t="s">
        <v>415</v>
      </c>
      <c r="C955" s="190">
        <v>3381</v>
      </c>
      <c r="D955" s="190" t="s">
        <v>408</v>
      </c>
      <c r="E955" s="191">
        <v>0</v>
      </c>
      <c r="F955" s="191">
        <v>0</v>
      </c>
      <c r="G955" s="193">
        <v>43899</v>
      </c>
      <c r="H955" s="193">
        <v>22430.92</v>
      </c>
      <c r="I955" s="193">
        <v>22430.92</v>
      </c>
      <c r="J955" s="191">
        <v>0</v>
      </c>
      <c r="K955" s="193">
        <v>44861.84</v>
      </c>
      <c r="L955" s="193">
        <v>22430.92</v>
      </c>
      <c r="M955" s="191">
        <v>0</v>
      </c>
      <c r="N955" s="193">
        <v>22430.92</v>
      </c>
      <c r="O955" s="193">
        <v>22430.92</v>
      </c>
      <c r="P955" s="193">
        <v>22430.92</v>
      </c>
    </row>
    <row r="956" spans="1:16" x14ac:dyDescent="0.25">
      <c r="A956" s="190">
        <v>801010402</v>
      </c>
      <c r="B956" s="190" t="s">
        <v>416</v>
      </c>
      <c r="C956" s="190">
        <v>3381</v>
      </c>
      <c r="D956" s="190" t="s">
        <v>409</v>
      </c>
      <c r="E956" s="191">
        <v>0</v>
      </c>
      <c r="F956" s="191">
        <v>0</v>
      </c>
      <c r="G956" s="191">
        <v>0</v>
      </c>
      <c r="H956" s="191">
        <v>0</v>
      </c>
      <c r="I956" s="191">
        <v>0</v>
      </c>
      <c r="J956" s="191">
        <v>0</v>
      </c>
      <c r="K956" s="191">
        <v>0</v>
      </c>
      <c r="L956" s="193">
        <v>44861.84</v>
      </c>
      <c r="M956" s="191">
        <v>0</v>
      </c>
      <c r="N956" s="191">
        <v>0</v>
      </c>
      <c r="O956" s="193">
        <v>44861.84</v>
      </c>
      <c r="P956" s="191">
        <v>0</v>
      </c>
    </row>
    <row r="957" spans="1:16" x14ac:dyDescent="0.25">
      <c r="A957" s="190">
        <v>801010402</v>
      </c>
      <c r="B957" s="190" t="s">
        <v>416</v>
      </c>
      <c r="C957" s="190">
        <v>3381</v>
      </c>
      <c r="D957" s="190" t="s">
        <v>408</v>
      </c>
      <c r="E957" s="191">
        <v>0</v>
      </c>
      <c r="F957" s="191">
        <v>0</v>
      </c>
      <c r="G957" s="193">
        <v>87798</v>
      </c>
      <c r="H957" s="193">
        <v>44861.84</v>
      </c>
      <c r="I957" s="193">
        <v>44861.84</v>
      </c>
      <c r="J957" s="191">
        <v>0</v>
      </c>
      <c r="K957" s="193">
        <v>89723.68</v>
      </c>
      <c r="L957" s="193">
        <v>44861.84</v>
      </c>
      <c r="M957" s="191">
        <v>0</v>
      </c>
      <c r="N957" s="193">
        <v>44861.84</v>
      </c>
      <c r="O957" s="193">
        <v>44861.84</v>
      </c>
      <c r="P957" s="193">
        <v>44861.84</v>
      </c>
    </row>
    <row r="958" spans="1:16" x14ac:dyDescent="0.25">
      <c r="A958" s="190">
        <v>801010402</v>
      </c>
      <c r="B958" s="190" t="s">
        <v>417</v>
      </c>
      <c r="C958" s="190">
        <v>3381</v>
      </c>
      <c r="D958" s="190" t="s">
        <v>408</v>
      </c>
      <c r="E958" s="191">
        <v>0</v>
      </c>
      <c r="F958" s="191">
        <v>0</v>
      </c>
      <c r="G958" s="193">
        <v>88250.4</v>
      </c>
      <c r="H958" s="193">
        <v>44125.2</v>
      </c>
      <c r="I958" s="193">
        <v>44125.2</v>
      </c>
      <c r="J958" s="191">
        <v>0</v>
      </c>
      <c r="K958" s="193">
        <v>88250.4</v>
      </c>
      <c r="L958" s="193">
        <v>88250.4</v>
      </c>
      <c r="M958" s="191">
        <v>0</v>
      </c>
      <c r="N958" s="193">
        <v>44125.2</v>
      </c>
      <c r="O958" s="193">
        <v>88250.4</v>
      </c>
      <c r="P958" s="193">
        <v>44125.2</v>
      </c>
    </row>
    <row r="959" spans="1:16" x14ac:dyDescent="0.25">
      <c r="A959" s="190">
        <v>801010402</v>
      </c>
      <c r="B959" s="190" t="s">
        <v>419</v>
      </c>
      <c r="C959" s="190">
        <v>3381</v>
      </c>
      <c r="D959" s="190" t="s">
        <v>409</v>
      </c>
      <c r="E959" s="191">
        <v>0</v>
      </c>
      <c r="F959" s="191">
        <v>0</v>
      </c>
      <c r="G959" s="191">
        <v>0</v>
      </c>
      <c r="H959" s="191">
        <v>0</v>
      </c>
      <c r="I959" s="191">
        <v>0</v>
      </c>
      <c r="J959" s="191">
        <v>0</v>
      </c>
      <c r="K959" s="191">
        <v>0</v>
      </c>
      <c r="L959" s="193">
        <v>44861.84</v>
      </c>
      <c r="M959" s="191">
        <v>0</v>
      </c>
      <c r="N959" s="191">
        <v>0</v>
      </c>
      <c r="O959" s="193">
        <v>44861.84</v>
      </c>
      <c r="P959" s="191">
        <v>0</v>
      </c>
    </row>
    <row r="960" spans="1:16" x14ac:dyDescent="0.25">
      <c r="A960" s="190">
        <v>801010402</v>
      </c>
      <c r="B960" s="190" t="s">
        <v>419</v>
      </c>
      <c r="C960" s="190">
        <v>3381</v>
      </c>
      <c r="D960" s="190" t="s">
        <v>408</v>
      </c>
      <c r="E960" s="191">
        <v>0</v>
      </c>
      <c r="F960" s="191">
        <v>0</v>
      </c>
      <c r="G960" s="193">
        <v>87798</v>
      </c>
      <c r="H960" s="193">
        <v>44861.84</v>
      </c>
      <c r="I960" s="193">
        <v>44189.07</v>
      </c>
      <c r="J960" s="191">
        <v>0</v>
      </c>
      <c r="K960" s="193">
        <v>89723.68</v>
      </c>
      <c r="L960" s="193">
        <v>44861.84</v>
      </c>
      <c r="M960" s="191">
        <v>0</v>
      </c>
      <c r="N960" s="193">
        <v>44861.84</v>
      </c>
      <c r="O960" s="193">
        <v>44861.84</v>
      </c>
      <c r="P960" s="193">
        <v>44861.84</v>
      </c>
    </row>
    <row r="961" spans="1:16" x14ac:dyDescent="0.25">
      <c r="A961" s="190">
        <v>801010402</v>
      </c>
      <c r="B961" s="190" t="s">
        <v>420</v>
      </c>
      <c r="C961" s="190">
        <v>3381</v>
      </c>
      <c r="D961" s="190" t="s">
        <v>409</v>
      </c>
      <c r="E961" s="191">
        <v>0</v>
      </c>
      <c r="F961" s="191">
        <v>0</v>
      </c>
      <c r="G961" s="191">
        <v>0</v>
      </c>
      <c r="H961" s="191">
        <v>0</v>
      </c>
      <c r="I961" s="191">
        <v>0</v>
      </c>
      <c r="J961" s="191">
        <v>0</v>
      </c>
      <c r="K961" s="191">
        <v>0</v>
      </c>
      <c r="L961" s="193">
        <v>44861.84</v>
      </c>
      <c r="M961" s="191">
        <v>0</v>
      </c>
      <c r="N961" s="191">
        <v>0</v>
      </c>
      <c r="O961" s="193">
        <v>44861.84</v>
      </c>
      <c r="P961" s="191">
        <v>0</v>
      </c>
    </row>
    <row r="962" spans="1:16" x14ac:dyDescent="0.25">
      <c r="A962" s="190">
        <v>801010402</v>
      </c>
      <c r="B962" s="190" t="s">
        <v>420</v>
      </c>
      <c r="C962" s="190">
        <v>3381</v>
      </c>
      <c r="D962" s="190" t="s">
        <v>408</v>
      </c>
      <c r="E962" s="191">
        <v>0</v>
      </c>
      <c r="F962" s="191">
        <v>0</v>
      </c>
      <c r="G962" s="193">
        <v>87798</v>
      </c>
      <c r="H962" s="193">
        <v>44861.84</v>
      </c>
      <c r="I962" s="193">
        <v>44861.84</v>
      </c>
      <c r="J962" s="191">
        <v>0</v>
      </c>
      <c r="K962" s="193">
        <v>89723.68</v>
      </c>
      <c r="L962" s="193">
        <v>44861.84</v>
      </c>
      <c r="M962" s="191">
        <v>0</v>
      </c>
      <c r="N962" s="193">
        <v>44861.84</v>
      </c>
      <c r="O962" s="193">
        <v>44861.84</v>
      </c>
      <c r="P962" s="193">
        <v>44861.84</v>
      </c>
    </row>
    <row r="963" spans="1:16" x14ac:dyDescent="0.25">
      <c r="A963" s="190">
        <v>801010402</v>
      </c>
      <c r="B963" s="190" t="s">
        <v>421</v>
      </c>
      <c r="C963" s="190">
        <v>3381</v>
      </c>
      <c r="D963" s="190" t="s">
        <v>409</v>
      </c>
      <c r="E963" s="191">
        <v>0</v>
      </c>
      <c r="F963" s="191">
        <v>0</v>
      </c>
      <c r="G963" s="191">
        <v>0</v>
      </c>
      <c r="H963" s="191">
        <v>0</v>
      </c>
      <c r="I963" s="191">
        <v>0</v>
      </c>
      <c r="J963" s="191">
        <v>0</v>
      </c>
      <c r="K963" s="191">
        <v>0</v>
      </c>
      <c r="L963" s="193">
        <v>33646.379999999997</v>
      </c>
      <c r="M963" s="191">
        <v>0</v>
      </c>
      <c r="N963" s="191">
        <v>0</v>
      </c>
      <c r="O963" s="193">
        <v>33646.379999999997</v>
      </c>
      <c r="P963" s="191">
        <v>0</v>
      </c>
    </row>
    <row r="964" spans="1:16" x14ac:dyDescent="0.25">
      <c r="A964" s="190">
        <v>801010402</v>
      </c>
      <c r="B964" s="190" t="s">
        <v>421</v>
      </c>
      <c r="C964" s="190">
        <v>3381</v>
      </c>
      <c r="D964" s="190" t="s">
        <v>408</v>
      </c>
      <c r="E964" s="191">
        <v>0</v>
      </c>
      <c r="F964" s="191">
        <v>0</v>
      </c>
      <c r="G964" s="193">
        <v>65848.5</v>
      </c>
      <c r="H964" s="193">
        <v>33646.379999999997</v>
      </c>
      <c r="I964" s="193">
        <v>33646.379999999997</v>
      </c>
      <c r="J964" s="191">
        <v>0</v>
      </c>
      <c r="K964" s="193">
        <v>67292.759999999995</v>
      </c>
      <c r="L964" s="193">
        <v>33646.379999999997</v>
      </c>
      <c r="M964" s="191">
        <v>0</v>
      </c>
      <c r="N964" s="193">
        <v>33646.379999999997</v>
      </c>
      <c r="O964" s="193">
        <v>33646.379999999997</v>
      </c>
      <c r="P964" s="193">
        <v>33646.379999999997</v>
      </c>
    </row>
    <row r="965" spans="1:16" x14ac:dyDescent="0.25">
      <c r="A965" s="190">
        <v>801010402</v>
      </c>
      <c r="B965" s="190" t="s">
        <v>422</v>
      </c>
      <c r="C965" s="190">
        <v>3381</v>
      </c>
      <c r="D965" s="190" t="s">
        <v>409</v>
      </c>
      <c r="E965" s="191">
        <v>0</v>
      </c>
      <c r="F965" s="191">
        <v>0</v>
      </c>
      <c r="G965" s="191">
        <v>0</v>
      </c>
      <c r="H965" s="191">
        <v>0</v>
      </c>
      <c r="I965" s="191">
        <v>0</v>
      </c>
      <c r="J965" s="191">
        <v>0</v>
      </c>
      <c r="K965" s="191">
        <v>0</v>
      </c>
      <c r="L965" s="193">
        <v>33646.379999999997</v>
      </c>
      <c r="M965" s="191">
        <v>0</v>
      </c>
      <c r="N965" s="191">
        <v>0</v>
      </c>
      <c r="O965" s="193">
        <v>33646.379999999997</v>
      </c>
      <c r="P965" s="191">
        <v>0</v>
      </c>
    </row>
    <row r="966" spans="1:16" x14ac:dyDescent="0.25">
      <c r="A966" s="190">
        <v>801010402</v>
      </c>
      <c r="B966" s="190" t="s">
        <v>422</v>
      </c>
      <c r="C966" s="190">
        <v>3381</v>
      </c>
      <c r="D966" s="190" t="s">
        <v>408</v>
      </c>
      <c r="E966" s="191">
        <v>0</v>
      </c>
      <c r="F966" s="191">
        <v>0</v>
      </c>
      <c r="G966" s="193">
        <v>65848.5</v>
      </c>
      <c r="H966" s="193">
        <v>33646.379999999997</v>
      </c>
      <c r="I966" s="193">
        <v>33646.379999999997</v>
      </c>
      <c r="J966" s="191">
        <v>0</v>
      </c>
      <c r="K966" s="193">
        <v>67292.759999999995</v>
      </c>
      <c r="L966" s="193">
        <v>33646.379999999997</v>
      </c>
      <c r="M966" s="191">
        <v>0</v>
      </c>
      <c r="N966" s="193">
        <v>33646.379999999997</v>
      </c>
      <c r="O966" s="193">
        <v>33646.379999999997</v>
      </c>
      <c r="P966" s="193">
        <v>33646.379999999997</v>
      </c>
    </row>
    <row r="967" spans="1:16" x14ac:dyDescent="0.25">
      <c r="A967" s="190">
        <v>801010402</v>
      </c>
      <c r="B967" s="190" t="s">
        <v>423</v>
      </c>
      <c r="C967" s="190">
        <v>3381</v>
      </c>
      <c r="D967" s="190" t="s">
        <v>409</v>
      </c>
      <c r="E967" s="191">
        <v>0</v>
      </c>
      <c r="F967" s="191">
        <v>0</v>
      </c>
      <c r="G967" s="191">
        <v>0</v>
      </c>
      <c r="H967" s="191">
        <v>0</v>
      </c>
      <c r="I967" s="191">
        <v>0</v>
      </c>
      <c r="J967" s="191">
        <v>0</v>
      </c>
      <c r="K967" s="191">
        <v>0</v>
      </c>
      <c r="L967" s="193">
        <v>33646.379999999997</v>
      </c>
      <c r="M967" s="191">
        <v>0</v>
      </c>
      <c r="N967" s="191">
        <v>0</v>
      </c>
      <c r="O967" s="193">
        <v>33646.379999999997</v>
      </c>
      <c r="P967" s="191">
        <v>0</v>
      </c>
    </row>
    <row r="968" spans="1:16" x14ac:dyDescent="0.25">
      <c r="A968" s="190">
        <v>801010402</v>
      </c>
      <c r="B968" s="190" t="s">
        <v>423</v>
      </c>
      <c r="C968" s="190">
        <v>3381</v>
      </c>
      <c r="D968" s="190" t="s">
        <v>408</v>
      </c>
      <c r="E968" s="191">
        <v>0</v>
      </c>
      <c r="F968" s="191">
        <v>0</v>
      </c>
      <c r="G968" s="193">
        <v>65848.5</v>
      </c>
      <c r="H968" s="193">
        <v>33646.379999999997</v>
      </c>
      <c r="I968" s="193">
        <v>33646.379999999997</v>
      </c>
      <c r="J968" s="191">
        <v>0</v>
      </c>
      <c r="K968" s="193">
        <v>67292.759999999995</v>
      </c>
      <c r="L968" s="193">
        <v>33646.379999999997</v>
      </c>
      <c r="M968" s="191">
        <v>0</v>
      </c>
      <c r="N968" s="193">
        <v>33646.379999999997</v>
      </c>
      <c r="O968" s="193">
        <v>33646.379999999997</v>
      </c>
      <c r="P968" s="193">
        <v>33646.379999999997</v>
      </c>
    </row>
    <row r="969" spans="1:16" x14ac:dyDescent="0.25">
      <c r="A969" s="190">
        <v>801010402</v>
      </c>
      <c r="B969" s="190" t="s">
        <v>424</v>
      </c>
      <c r="C969" s="190">
        <v>3381</v>
      </c>
      <c r="D969" s="190" t="s">
        <v>408</v>
      </c>
      <c r="E969" s="191">
        <v>0</v>
      </c>
      <c r="F969" s="191">
        <v>0</v>
      </c>
      <c r="G969" s="193">
        <v>83006.399999999994</v>
      </c>
      <c r="H969" s="193">
        <v>83006.399999999994</v>
      </c>
      <c r="I969" s="191">
        <v>0</v>
      </c>
      <c r="J969" s="191">
        <v>0</v>
      </c>
      <c r="K969" s="193">
        <v>83006.399999999994</v>
      </c>
      <c r="L969" s="193">
        <v>83006.399999999994</v>
      </c>
      <c r="M969" s="191">
        <v>0</v>
      </c>
      <c r="N969" s="193">
        <v>41503.199999999997</v>
      </c>
      <c r="O969" s="193">
        <v>83006.399999999994</v>
      </c>
      <c r="P969" s="193">
        <v>41503.199999999997</v>
      </c>
    </row>
    <row r="970" spans="1:16" x14ac:dyDescent="0.25">
      <c r="A970" s="190">
        <v>801010402</v>
      </c>
      <c r="B970" s="190" t="s">
        <v>425</v>
      </c>
      <c r="C970" s="190">
        <v>3381</v>
      </c>
      <c r="D970" s="190" t="s">
        <v>408</v>
      </c>
      <c r="E970" s="191">
        <v>0</v>
      </c>
      <c r="F970" s="191">
        <v>0</v>
      </c>
      <c r="G970" s="193">
        <v>88250.4</v>
      </c>
      <c r="H970" s="193">
        <v>44125.2</v>
      </c>
      <c r="I970" s="193">
        <v>44125.2</v>
      </c>
      <c r="J970" s="191">
        <v>0</v>
      </c>
      <c r="K970" s="193">
        <v>88250.4</v>
      </c>
      <c r="L970" s="193">
        <v>88250.4</v>
      </c>
      <c r="M970" s="191">
        <v>0</v>
      </c>
      <c r="N970" s="193">
        <v>44125.2</v>
      </c>
      <c r="O970" s="193">
        <v>88250.4</v>
      </c>
      <c r="P970" s="193">
        <v>44125.2</v>
      </c>
    </row>
    <row r="971" spans="1:16" x14ac:dyDescent="0.25">
      <c r="A971" s="190">
        <v>801010402</v>
      </c>
      <c r="B971" s="190" t="s">
        <v>426</v>
      </c>
      <c r="C971" s="190">
        <v>3381</v>
      </c>
      <c r="D971" s="190" t="s">
        <v>408</v>
      </c>
      <c r="E971" s="191">
        <v>0</v>
      </c>
      <c r="F971" s="191">
        <v>0</v>
      </c>
      <c r="G971" s="193">
        <v>88250.4</v>
      </c>
      <c r="H971" s="193">
        <v>88250.4</v>
      </c>
      <c r="I971" s="191">
        <v>0</v>
      </c>
      <c r="J971" s="191">
        <v>0</v>
      </c>
      <c r="K971" s="193">
        <v>88250.4</v>
      </c>
      <c r="L971" s="193">
        <v>88250.4</v>
      </c>
      <c r="M971" s="191">
        <v>0</v>
      </c>
      <c r="N971" s="193">
        <v>44125.2</v>
      </c>
      <c r="O971" s="193">
        <v>88250.4</v>
      </c>
      <c r="P971" s="193">
        <v>44125.2</v>
      </c>
    </row>
    <row r="972" spans="1:16" x14ac:dyDescent="0.25">
      <c r="A972" s="190">
        <v>801010402</v>
      </c>
      <c r="B972" s="190" t="s">
        <v>427</v>
      </c>
      <c r="C972" s="190">
        <v>3381</v>
      </c>
      <c r="D972" s="190" t="s">
        <v>408</v>
      </c>
      <c r="E972" s="191">
        <v>0</v>
      </c>
      <c r="F972" s="191">
        <v>0</v>
      </c>
      <c r="G972" s="193">
        <v>88250.4</v>
      </c>
      <c r="H972" s="193">
        <v>44125.2</v>
      </c>
      <c r="I972" s="193">
        <v>44125.2</v>
      </c>
      <c r="J972" s="191">
        <v>0</v>
      </c>
      <c r="K972" s="193">
        <v>88250.4</v>
      </c>
      <c r="L972" s="193">
        <v>88250.4</v>
      </c>
      <c r="M972" s="191">
        <v>0</v>
      </c>
      <c r="N972" s="193">
        <v>44125.2</v>
      </c>
      <c r="O972" s="193">
        <v>88250.4</v>
      </c>
      <c r="P972" s="193">
        <v>44125.2</v>
      </c>
    </row>
    <row r="973" spans="1:16" x14ac:dyDescent="0.25">
      <c r="A973" s="190">
        <v>801010402</v>
      </c>
      <c r="B973" s="190" t="s">
        <v>428</v>
      </c>
      <c r="C973" s="190">
        <v>3381</v>
      </c>
      <c r="D973" s="190" t="s">
        <v>409</v>
      </c>
      <c r="E973" s="191">
        <v>0</v>
      </c>
      <c r="F973" s="191">
        <v>0</v>
      </c>
      <c r="G973" s="191">
        <v>0</v>
      </c>
      <c r="H973" s="191">
        <v>0</v>
      </c>
      <c r="I973" s="191">
        <v>0</v>
      </c>
      <c r="J973" s="191">
        <v>0</v>
      </c>
      <c r="K973" s="191">
        <v>0</v>
      </c>
      <c r="L973" s="191">
        <v>0</v>
      </c>
      <c r="M973" s="191">
        <v>0</v>
      </c>
      <c r="N973" s="191">
        <v>0</v>
      </c>
      <c r="O973" s="193">
        <v>41503.199999999997</v>
      </c>
      <c r="P973" s="191">
        <v>0</v>
      </c>
    </row>
    <row r="974" spans="1:16" x14ac:dyDescent="0.25">
      <c r="A974" s="190">
        <v>801010402</v>
      </c>
      <c r="B974" s="190" t="s">
        <v>428</v>
      </c>
      <c r="C974" s="190">
        <v>3381</v>
      </c>
      <c r="D974" s="190" t="s">
        <v>408</v>
      </c>
      <c r="E974" s="191">
        <v>0</v>
      </c>
      <c r="F974" s="191">
        <v>0</v>
      </c>
      <c r="G974" s="193">
        <v>41503.199999999997</v>
      </c>
      <c r="H974" s="193">
        <v>41503.199999999997</v>
      </c>
      <c r="I974" s="191">
        <v>0</v>
      </c>
      <c r="J974" s="191">
        <v>0</v>
      </c>
      <c r="K974" s="193">
        <v>41503.199999999997</v>
      </c>
      <c r="L974" s="193">
        <v>41503.199999999997</v>
      </c>
      <c r="M974" s="191">
        <v>0</v>
      </c>
      <c r="N974" s="193">
        <v>20751.599999999999</v>
      </c>
      <c r="O974" s="193">
        <v>20751.599999999999</v>
      </c>
      <c r="P974" s="193">
        <v>41503.199999999997</v>
      </c>
    </row>
    <row r="975" spans="1:16" x14ac:dyDescent="0.25">
      <c r="A975" s="190">
        <v>801010402</v>
      </c>
      <c r="B975" s="190" t="s">
        <v>429</v>
      </c>
      <c r="C975" s="190">
        <v>3381</v>
      </c>
      <c r="D975" s="190" t="s">
        <v>409</v>
      </c>
      <c r="E975" s="191">
        <v>0</v>
      </c>
      <c r="F975" s="191">
        <v>0</v>
      </c>
      <c r="G975" s="191">
        <v>0</v>
      </c>
      <c r="H975" s="191">
        <v>0</v>
      </c>
      <c r="I975" s="191">
        <v>0</v>
      </c>
      <c r="J975" s="191">
        <v>0</v>
      </c>
      <c r="K975" s="191">
        <v>0</v>
      </c>
      <c r="L975" s="193">
        <v>44861.84</v>
      </c>
      <c r="M975" s="191">
        <v>0</v>
      </c>
      <c r="N975" s="191">
        <v>0</v>
      </c>
      <c r="O975" s="193">
        <v>44861.84</v>
      </c>
      <c r="P975" s="191">
        <v>0</v>
      </c>
    </row>
    <row r="976" spans="1:16" x14ac:dyDescent="0.25">
      <c r="A976" s="190">
        <v>801010402</v>
      </c>
      <c r="B976" s="190" t="s">
        <v>429</v>
      </c>
      <c r="C976" s="190">
        <v>3381</v>
      </c>
      <c r="D976" s="190" t="s">
        <v>408</v>
      </c>
      <c r="E976" s="191">
        <v>0</v>
      </c>
      <c r="F976" s="191">
        <v>0</v>
      </c>
      <c r="G976" s="193">
        <v>89723.68</v>
      </c>
      <c r="H976" s="193">
        <v>44861.84</v>
      </c>
      <c r="I976" s="193">
        <v>44861.84</v>
      </c>
      <c r="J976" s="191">
        <v>0</v>
      </c>
      <c r="K976" s="193">
        <v>89723.68</v>
      </c>
      <c r="L976" s="193">
        <v>44861.84</v>
      </c>
      <c r="M976" s="191">
        <v>0</v>
      </c>
      <c r="N976" s="193">
        <v>44861.84</v>
      </c>
      <c r="O976" s="193">
        <v>44861.84</v>
      </c>
      <c r="P976" s="193">
        <v>44861.84</v>
      </c>
    </row>
    <row r="977" spans="1:16" x14ac:dyDescent="0.25">
      <c r="A977" s="190">
        <v>801010402</v>
      </c>
      <c r="B977" s="190" t="s">
        <v>430</v>
      </c>
      <c r="C977" s="190">
        <v>3381</v>
      </c>
      <c r="D977" s="190" t="s">
        <v>409</v>
      </c>
      <c r="E977" s="191">
        <v>0</v>
      </c>
      <c r="F977" s="191">
        <v>0</v>
      </c>
      <c r="G977" s="191">
        <v>0</v>
      </c>
      <c r="H977" s="191">
        <v>0</v>
      </c>
      <c r="I977" s="191">
        <v>0</v>
      </c>
      <c r="J977" s="191">
        <v>0</v>
      </c>
      <c r="K977" s="191">
        <v>0</v>
      </c>
      <c r="L977" s="193">
        <v>22430.92</v>
      </c>
      <c r="M977" s="191">
        <v>0</v>
      </c>
      <c r="N977" s="191">
        <v>0</v>
      </c>
      <c r="O977" s="193">
        <v>22430.92</v>
      </c>
      <c r="P977" s="191">
        <v>0</v>
      </c>
    </row>
    <row r="978" spans="1:16" x14ac:dyDescent="0.25">
      <c r="A978" s="190">
        <v>801010402</v>
      </c>
      <c r="B978" s="190" t="s">
        <v>430</v>
      </c>
      <c r="C978" s="190">
        <v>3381</v>
      </c>
      <c r="D978" s="190" t="s">
        <v>408</v>
      </c>
      <c r="E978" s="191">
        <v>0</v>
      </c>
      <c r="F978" s="191">
        <v>0</v>
      </c>
      <c r="G978" s="193">
        <v>44861.84</v>
      </c>
      <c r="H978" s="193">
        <v>22430.92</v>
      </c>
      <c r="I978" s="193">
        <v>22430.92</v>
      </c>
      <c r="J978" s="191">
        <v>0</v>
      </c>
      <c r="K978" s="193">
        <v>44861.84</v>
      </c>
      <c r="L978" s="193">
        <v>22430.92</v>
      </c>
      <c r="M978" s="191">
        <v>0</v>
      </c>
      <c r="N978" s="193">
        <v>22430.92</v>
      </c>
      <c r="O978" s="193">
        <v>22430.92</v>
      </c>
      <c r="P978" s="193">
        <v>22430.92</v>
      </c>
    </row>
    <row r="979" spans="1:16" x14ac:dyDescent="0.25">
      <c r="A979" s="190">
        <v>801010402</v>
      </c>
      <c r="B979" s="190" t="s">
        <v>431</v>
      </c>
      <c r="C979" s="190">
        <v>3381</v>
      </c>
      <c r="D979" s="190" t="s">
        <v>409</v>
      </c>
      <c r="E979" s="191">
        <v>0</v>
      </c>
      <c r="F979" s="191">
        <v>0</v>
      </c>
      <c r="G979" s="191">
        <v>0</v>
      </c>
      <c r="H979" s="191">
        <v>0</v>
      </c>
      <c r="I979" s="191">
        <v>0</v>
      </c>
      <c r="J979" s="191">
        <v>0</v>
      </c>
      <c r="K979" s="191">
        <v>0</v>
      </c>
      <c r="L979" s="193">
        <v>49328.26</v>
      </c>
      <c r="M979" s="191">
        <v>0</v>
      </c>
      <c r="N979" s="191">
        <v>0</v>
      </c>
      <c r="O979" s="193">
        <v>49328.26</v>
      </c>
      <c r="P979" s="191">
        <v>0</v>
      </c>
    </row>
    <row r="980" spans="1:16" x14ac:dyDescent="0.25">
      <c r="A980" s="190">
        <v>801010402</v>
      </c>
      <c r="B980" s="190" t="s">
        <v>431</v>
      </c>
      <c r="C980" s="190">
        <v>3381</v>
      </c>
      <c r="D980" s="190" t="s">
        <v>408</v>
      </c>
      <c r="E980" s="191">
        <v>0</v>
      </c>
      <c r="F980" s="191">
        <v>0</v>
      </c>
      <c r="G980" s="193">
        <v>76225.600000000006</v>
      </c>
      <c r="H980" s="193">
        <v>49328.26</v>
      </c>
      <c r="I980" s="193">
        <v>49328.26</v>
      </c>
      <c r="J980" s="191">
        <v>0</v>
      </c>
      <c r="K980" s="193">
        <v>98656.52</v>
      </c>
      <c r="L980" s="193">
        <v>49328.26</v>
      </c>
      <c r="M980" s="191">
        <v>0</v>
      </c>
      <c r="N980" s="193">
        <v>49328.26</v>
      </c>
      <c r="O980" s="193">
        <v>49328.26</v>
      </c>
      <c r="P980" s="193">
        <v>49328.26</v>
      </c>
    </row>
    <row r="981" spans="1:16" x14ac:dyDescent="0.25">
      <c r="A981" s="190">
        <v>801010402</v>
      </c>
      <c r="B981" s="190" t="s">
        <v>432</v>
      </c>
      <c r="C981" s="190">
        <v>3381</v>
      </c>
      <c r="D981" s="190" t="s">
        <v>408</v>
      </c>
      <c r="E981" s="191">
        <v>0</v>
      </c>
      <c r="F981" s="191">
        <v>0</v>
      </c>
      <c r="G981" s="193">
        <v>88250.4</v>
      </c>
      <c r="H981" s="193">
        <v>44125.2</v>
      </c>
      <c r="I981" s="193">
        <v>44189.07</v>
      </c>
      <c r="J981" s="191">
        <v>0</v>
      </c>
      <c r="K981" s="193">
        <v>88250.4</v>
      </c>
      <c r="L981" s="193">
        <v>88250.4</v>
      </c>
      <c r="M981" s="191">
        <v>0</v>
      </c>
      <c r="N981" s="193">
        <v>44125.2</v>
      </c>
      <c r="O981" s="193">
        <v>88250.4</v>
      </c>
      <c r="P981" s="193">
        <v>44125.2</v>
      </c>
    </row>
    <row r="982" spans="1:16" x14ac:dyDescent="0.25">
      <c r="A982" s="190">
        <v>801010402</v>
      </c>
      <c r="B982" s="190" t="s">
        <v>433</v>
      </c>
      <c r="C982" s="190">
        <v>3381</v>
      </c>
      <c r="D982" s="190" t="s">
        <v>408</v>
      </c>
      <c r="E982" s="191">
        <v>0</v>
      </c>
      <c r="F982" s="191">
        <v>0</v>
      </c>
      <c r="G982" s="193">
        <v>44125.2</v>
      </c>
      <c r="H982" s="193">
        <v>44125.2</v>
      </c>
      <c r="I982" s="191">
        <v>0</v>
      </c>
      <c r="J982" s="191">
        <v>0</v>
      </c>
      <c r="K982" s="193">
        <v>44125.2</v>
      </c>
      <c r="L982" s="193">
        <v>44125.2</v>
      </c>
      <c r="M982" s="191">
        <v>0</v>
      </c>
      <c r="N982" s="193">
        <v>22062.6</v>
      </c>
      <c r="O982" s="193">
        <v>44125.2</v>
      </c>
      <c r="P982" s="193">
        <v>22062.2</v>
      </c>
    </row>
    <row r="983" spans="1:16" x14ac:dyDescent="0.25">
      <c r="A983" s="190">
        <v>801010402</v>
      </c>
      <c r="B983" s="190" t="s">
        <v>434</v>
      </c>
      <c r="C983" s="190">
        <v>3381</v>
      </c>
      <c r="D983" s="190" t="s">
        <v>408</v>
      </c>
      <c r="E983" s="191">
        <v>0</v>
      </c>
      <c r="F983" s="191">
        <v>0</v>
      </c>
      <c r="G983" s="193">
        <v>44125.2</v>
      </c>
      <c r="H983" s="193">
        <v>22062.6</v>
      </c>
      <c r="I983" s="193">
        <v>22062.6</v>
      </c>
      <c r="J983" s="191">
        <v>0</v>
      </c>
      <c r="K983" s="193">
        <v>44125.2</v>
      </c>
      <c r="L983" s="193">
        <v>44125.2</v>
      </c>
      <c r="M983" s="191">
        <v>0</v>
      </c>
      <c r="N983" s="193">
        <v>22062.6</v>
      </c>
      <c r="O983" s="193">
        <v>44125.2</v>
      </c>
      <c r="P983" s="193">
        <v>22062.6</v>
      </c>
    </row>
    <row r="984" spans="1:16" x14ac:dyDescent="0.25">
      <c r="A984" s="190">
        <v>801010402</v>
      </c>
      <c r="B984" s="190" t="s">
        <v>435</v>
      </c>
      <c r="C984" s="190">
        <v>3381</v>
      </c>
      <c r="D984" s="190" t="s">
        <v>408</v>
      </c>
      <c r="E984" s="191">
        <v>0</v>
      </c>
      <c r="F984" s="191">
        <v>0</v>
      </c>
      <c r="G984" s="193">
        <v>41503.199999999997</v>
      </c>
      <c r="H984" s="193">
        <v>41503.199999999997</v>
      </c>
      <c r="I984" s="191">
        <v>0</v>
      </c>
      <c r="J984" s="191">
        <v>0</v>
      </c>
      <c r="K984" s="193">
        <v>41503.199999999997</v>
      </c>
      <c r="L984" s="193">
        <v>41503.199999999997</v>
      </c>
      <c r="M984" s="191">
        <v>0</v>
      </c>
      <c r="N984" s="193">
        <v>20751.599999999999</v>
      </c>
      <c r="O984" s="193">
        <v>41503.199999999997</v>
      </c>
      <c r="P984" s="193">
        <v>20751.599999999999</v>
      </c>
    </row>
    <row r="985" spans="1:16" x14ac:dyDescent="0.25">
      <c r="A985" s="190">
        <v>801010402</v>
      </c>
      <c r="B985" s="190" t="s">
        <v>436</v>
      </c>
      <c r="C985" s="190">
        <v>3381</v>
      </c>
      <c r="D985" s="190" t="s">
        <v>408</v>
      </c>
      <c r="E985" s="191">
        <v>0</v>
      </c>
      <c r="F985" s="191">
        <v>0</v>
      </c>
      <c r="G985" s="193">
        <v>41503.199999999997</v>
      </c>
      <c r="H985" s="193">
        <v>41503.199999999997</v>
      </c>
      <c r="I985" s="191">
        <v>0</v>
      </c>
      <c r="J985" s="191">
        <v>0</v>
      </c>
      <c r="K985" s="193">
        <v>41503.199999999997</v>
      </c>
      <c r="L985" s="193">
        <v>41503.199999999997</v>
      </c>
      <c r="M985" s="191">
        <v>0</v>
      </c>
      <c r="N985" s="193">
        <v>20751.599999999999</v>
      </c>
      <c r="O985" s="193">
        <v>41503.199999999997</v>
      </c>
      <c r="P985" s="193">
        <v>20751.599999999999</v>
      </c>
    </row>
    <row r="986" spans="1:16" x14ac:dyDescent="0.25">
      <c r="A986" s="190">
        <v>801010402</v>
      </c>
      <c r="B986" s="190" t="s">
        <v>437</v>
      </c>
      <c r="C986" s="190">
        <v>3381</v>
      </c>
      <c r="D986" s="190" t="s">
        <v>408</v>
      </c>
      <c r="E986" s="191">
        <v>0</v>
      </c>
      <c r="F986" s="193">
        <v>87798</v>
      </c>
      <c r="G986" s="191">
        <v>0</v>
      </c>
      <c r="H986" s="193">
        <v>44125.2</v>
      </c>
      <c r="I986" s="193">
        <v>44125.2</v>
      </c>
      <c r="J986" s="191">
        <v>0</v>
      </c>
      <c r="K986" s="193">
        <v>88250.4</v>
      </c>
      <c r="L986" s="193">
        <v>88250.4</v>
      </c>
      <c r="M986" s="191">
        <v>0</v>
      </c>
      <c r="N986" s="193">
        <v>44125.2</v>
      </c>
      <c r="O986" s="193">
        <v>88250.4</v>
      </c>
      <c r="P986" s="193">
        <v>44125.2</v>
      </c>
    </row>
    <row r="987" spans="1:16" x14ac:dyDescent="0.25">
      <c r="A987" s="190">
        <v>801010402</v>
      </c>
      <c r="B987" s="190" t="s">
        <v>407</v>
      </c>
      <c r="C987" s="190">
        <v>3411</v>
      </c>
      <c r="D987" s="190" t="s">
        <v>408</v>
      </c>
      <c r="E987" s="191">
        <v>0</v>
      </c>
      <c r="F987" s="191">
        <v>0</v>
      </c>
      <c r="G987" s="193">
        <v>16521.54</v>
      </c>
      <c r="H987" s="191">
        <v>0</v>
      </c>
      <c r="I987" s="191">
        <v>0</v>
      </c>
      <c r="J987" s="191">
        <v>0</v>
      </c>
      <c r="K987" s="191">
        <v>0</v>
      </c>
      <c r="L987" s="191">
        <v>0</v>
      </c>
      <c r="M987" s="191">
        <v>0</v>
      </c>
      <c r="N987" s="191">
        <v>0</v>
      </c>
      <c r="O987" s="191">
        <v>0</v>
      </c>
      <c r="P987" s="191">
        <v>0</v>
      </c>
    </row>
    <row r="988" spans="1:16" x14ac:dyDescent="0.25">
      <c r="A988" s="190">
        <v>801010402</v>
      </c>
      <c r="B988" s="190" t="s">
        <v>407</v>
      </c>
      <c r="C988" s="190">
        <v>3451</v>
      </c>
      <c r="D988" s="190" t="s">
        <v>408</v>
      </c>
      <c r="E988" s="191">
        <v>0</v>
      </c>
      <c r="F988" s="193">
        <v>34861.120000000003</v>
      </c>
      <c r="G988" s="193">
        <v>102141.55</v>
      </c>
      <c r="H988" s="191">
        <v>0</v>
      </c>
      <c r="I988" s="193">
        <v>6499.29</v>
      </c>
      <c r="J988" s="193">
        <v>1500</v>
      </c>
      <c r="K988" s="191">
        <v>0</v>
      </c>
      <c r="L988" s="191">
        <v>0</v>
      </c>
      <c r="M988" s="191">
        <v>0</v>
      </c>
      <c r="N988" s="191">
        <v>0</v>
      </c>
      <c r="O988" s="191">
        <v>0</v>
      </c>
      <c r="P988" s="193">
        <v>2055.54</v>
      </c>
    </row>
    <row r="989" spans="1:16" x14ac:dyDescent="0.25">
      <c r="A989" s="190">
        <v>801010402</v>
      </c>
      <c r="B989" s="190" t="s">
        <v>410</v>
      </c>
      <c r="C989" s="190">
        <v>3451</v>
      </c>
      <c r="D989" s="190" t="s">
        <v>408</v>
      </c>
      <c r="E989" s="191">
        <v>0</v>
      </c>
      <c r="F989" s="193">
        <v>18314.11</v>
      </c>
      <c r="G989" s="193">
        <v>3721.33</v>
      </c>
      <c r="H989" s="191">
        <v>0</v>
      </c>
      <c r="I989" s="191">
        <v>0</v>
      </c>
      <c r="J989" s="191">
        <v>0</v>
      </c>
      <c r="K989" s="191">
        <v>0</v>
      </c>
      <c r="L989" s="191">
        <v>0</v>
      </c>
      <c r="M989" s="191">
        <v>0</v>
      </c>
      <c r="N989" s="191">
        <v>0</v>
      </c>
      <c r="O989" s="191">
        <v>0</v>
      </c>
      <c r="P989" s="191">
        <v>0</v>
      </c>
    </row>
    <row r="990" spans="1:16" x14ac:dyDescent="0.25">
      <c r="A990" s="190">
        <v>801010402</v>
      </c>
      <c r="B990" s="190" t="s">
        <v>411</v>
      </c>
      <c r="C990" s="190">
        <v>3451</v>
      </c>
      <c r="D990" s="190" t="s">
        <v>408</v>
      </c>
      <c r="E990" s="191">
        <v>0</v>
      </c>
      <c r="F990" s="193">
        <v>18314.11</v>
      </c>
      <c r="G990" s="193">
        <v>3721.33</v>
      </c>
      <c r="H990" s="191">
        <v>0</v>
      </c>
      <c r="I990" s="191">
        <v>0</v>
      </c>
      <c r="J990" s="191">
        <v>0</v>
      </c>
      <c r="K990" s="191">
        <v>0</v>
      </c>
      <c r="L990" s="191">
        <v>0</v>
      </c>
      <c r="M990" s="191">
        <v>0</v>
      </c>
      <c r="N990" s="191">
        <v>0</v>
      </c>
      <c r="O990" s="191">
        <v>0</v>
      </c>
      <c r="P990" s="191">
        <v>0</v>
      </c>
    </row>
    <row r="991" spans="1:16" x14ac:dyDescent="0.25">
      <c r="A991" s="190">
        <v>801010402</v>
      </c>
      <c r="B991" s="190" t="s">
        <v>412</v>
      </c>
      <c r="C991" s="190">
        <v>3451</v>
      </c>
      <c r="D991" s="190" t="s">
        <v>408</v>
      </c>
      <c r="E991" s="191">
        <v>0</v>
      </c>
      <c r="F991" s="193">
        <v>18314.11</v>
      </c>
      <c r="G991" s="193">
        <v>3721.33</v>
      </c>
      <c r="H991" s="191">
        <v>0</v>
      </c>
      <c r="I991" s="191">
        <v>0</v>
      </c>
      <c r="J991" s="191">
        <v>0</v>
      </c>
      <c r="K991" s="191">
        <v>0</v>
      </c>
      <c r="L991" s="191">
        <v>0</v>
      </c>
      <c r="M991" s="191">
        <v>0</v>
      </c>
      <c r="N991" s="191">
        <v>0</v>
      </c>
      <c r="O991" s="191">
        <v>0</v>
      </c>
      <c r="P991" s="191">
        <v>0</v>
      </c>
    </row>
    <row r="992" spans="1:16" x14ac:dyDescent="0.25">
      <c r="A992" s="190">
        <v>801010402</v>
      </c>
      <c r="B992" s="190" t="s">
        <v>413</v>
      </c>
      <c r="C992" s="190">
        <v>3451</v>
      </c>
      <c r="D992" s="190" t="s">
        <v>408</v>
      </c>
      <c r="E992" s="191">
        <v>0</v>
      </c>
      <c r="F992" s="193">
        <v>18314.11</v>
      </c>
      <c r="G992" s="193">
        <v>3721.33</v>
      </c>
      <c r="H992" s="191">
        <v>0</v>
      </c>
      <c r="I992" s="191">
        <v>0</v>
      </c>
      <c r="J992" s="191">
        <v>0</v>
      </c>
      <c r="K992" s="191">
        <v>0</v>
      </c>
      <c r="L992" s="191">
        <v>0</v>
      </c>
      <c r="M992" s="191">
        <v>0</v>
      </c>
      <c r="N992" s="191">
        <v>0</v>
      </c>
      <c r="O992" s="191">
        <v>0</v>
      </c>
      <c r="P992" s="191">
        <v>0</v>
      </c>
    </row>
    <row r="993" spans="1:16" x14ac:dyDescent="0.25">
      <c r="A993" s="190">
        <v>801010402</v>
      </c>
      <c r="B993" s="190" t="s">
        <v>414</v>
      </c>
      <c r="C993" s="190">
        <v>3451</v>
      </c>
      <c r="D993" s="190" t="s">
        <v>408</v>
      </c>
      <c r="E993" s="191">
        <v>0</v>
      </c>
      <c r="F993" s="193">
        <v>18314.11</v>
      </c>
      <c r="G993" s="193">
        <v>3721.33</v>
      </c>
      <c r="H993" s="191">
        <v>0</v>
      </c>
      <c r="I993" s="191">
        <v>0</v>
      </c>
      <c r="J993" s="191">
        <v>0</v>
      </c>
      <c r="K993" s="191">
        <v>0</v>
      </c>
      <c r="L993" s="191">
        <v>0</v>
      </c>
      <c r="M993" s="191">
        <v>0</v>
      </c>
      <c r="N993" s="191">
        <v>0</v>
      </c>
      <c r="O993" s="191">
        <v>0</v>
      </c>
      <c r="P993" s="191">
        <v>0</v>
      </c>
    </row>
    <row r="994" spans="1:16" x14ac:dyDescent="0.25">
      <c r="A994" s="190">
        <v>801010402</v>
      </c>
      <c r="B994" s="190" t="s">
        <v>415</v>
      </c>
      <c r="C994" s="190">
        <v>3451</v>
      </c>
      <c r="D994" s="190" t="s">
        <v>408</v>
      </c>
      <c r="E994" s="191">
        <v>0</v>
      </c>
      <c r="F994" s="193">
        <v>18314.11</v>
      </c>
      <c r="G994" s="193">
        <v>3721.33</v>
      </c>
      <c r="H994" s="191">
        <v>0</v>
      </c>
      <c r="I994" s="191">
        <v>0</v>
      </c>
      <c r="J994" s="191">
        <v>0</v>
      </c>
      <c r="K994" s="191">
        <v>0</v>
      </c>
      <c r="L994" s="191">
        <v>0</v>
      </c>
      <c r="M994" s="191">
        <v>0</v>
      </c>
      <c r="N994" s="191">
        <v>0</v>
      </c>
      <c r="O994" s="191">
        <v>0</v>
      </c>
      <c r="P994" s="191">
        <v>0</v>
      </c>
    </row>
    <row r="995" spans="1:16" x14ac:dyDescent="0.25">
      <c r="A995" s="190">
        <v>801010402</v>
      </c>
      <c r="B995" s="190" t="s">
        <v>416</v>
      </c>
      <c r="C995" s="190">
        <v>3451</v>
      </c>
      <c r="D995" s="190" t="s">
        <v>408</v>
      </c>
      <c r="E995" s="191">
        <v>0</v>
      </c>
      <c r="F995" s="193">
        <v>18314.11</v>
      </c>
      <c r="G995" s="193">
        <v>3721.33</v>
      </c>
      <c r="H995" s="191">
        <v>0</v>
      </c>
      <c r="I995" s="191">
        <v>0</v>
      </c>
      <c r="J995" s="191">
        <v>0</v>
      </c>
      <c r="K995" s="191">
        <v>0</v>
      </c>
      <c r="L995" s="191">
        <v>0</v>
      </c>
      <c r="M995" s="191">
        <v>0</v>
      </c>
      <c r="N995" s="191">
        <v>0</v>
      </c>
      <c r="O995" s="191">
        <v>0</v>
      </c>
      <c r="P995" s="191">
        <v>0</v>
      </c>
    </row>
    <row r="996" spans="1:16" x14ac:dyDescent="0.25">
      <c r="A996" s="190">
        <v>801010402</v>
      </c>
      <c r="B996" s="190" t="s">
        <v>417</v>
      </c>
      <c r="C996" s="190">
        <v>3451</v>
      </c>
      <c r="D996" s="190" t="s">
        <v>408</v>
      </c>
      <c r="E996" s="191">
        <v>0</v>
      </c>
      <c r="F996" s="193">
        <v>18314.11</v>
      </c>
      <c r="G996" s="193">
        <v>3721.33</v>
      </c>
      <c r="H996" s="191">
        <v>0</v>
      </c>
      <c r="I996" s="191">
        <v>0</v>
      </c>
      <c r="J996" s="191">
        <v>0</v>
      </c>
      <c r="K996" s="191">
        <v>0</v>
      </c>
      <c r="L996" s="191">
        <v>0</v>
      </c>
      <c r="M996" s="191">
        <v>0</v>
      </c>
      <c r="N996" s="191">
        <v>0</v>
      </c>
      <c r="O996" s="191">
        <v>0</v>
      </c>
      <c r="P996" s="191">
        <v>0</v>
      </c>
    </row>
    <row r="997" spans="1:16" x14ac:dyDescent="0.25">
      <c r="A997" s="190">
        <v>801010402</v>
      </c>
      <c r="B997" s="190" t="s">
        <v>419</v>
      </c>
      <c r="C997" s="190">
        <v>3451</v>
      </c>
      <c r="D997" s="190" t="s">
        <v>408</v>
      </c>
      <c r="E997" s="191">
        <v>0</v>
      </c>
      <c r="F997" s="193">
        <v>18314.11</v>
      </c>
      <c r="G997" s="193">
        <v>3721.33</v>
      </c>
      <c r="H997" s="191">
        <v>0</v>
      </c>
      <c r="I997" s="191">
        <v>0</v>
      </c>
      <c r="J997" s="191">
        <v>0</v>
      </c>
      <c r="K997" s="191">
        <v>0</v>
      </c>
      <c r="L997" s="191">
        <v>0</v>
      </c>
      <c r="M997" s="191">
        <v>0</v>
      </c>
      <c r="N997" s="191">
        <v>0</v>
      </c>
      <c r="O997" s="191">
        <v>0</v>
      </c>
      <c r="P997" s="191">
        <v>0</v>
      </c>
    </row>
    <row r="998" spans="1:16" x14ac:dyDescent="0.25">
      <c r="A998" s="190">
        <v>801010402</v>
      </c>
      <c r="B998" s="190" t="s">
        <v>420</v>
      </c>
      <c r="C998" s="190">
        <v>3451</v>
      </c>
      <c r="D998" s="190" t="s">
        <v>408</v>
      </c>
      <c r="E998" s="191">
        <v>0</v>
      </c>
      <c r="F998" s="193">
        <v>18314.11</v>
      </c>
      <c r="G998" s="193">
        <v>3721.33</v>
      </c>
      <c r="H998" s="191">
        <v>0</v>
      </c>
      <c r="I998" s="191">
        <v>0</v>
      </c>
      <c r="J998" s="191">
        <v>0</v>
      </c>
      <c r="K998" s="191">
        <v>0</v>
      </c>
      <c r="L998" s="191">
        <v>0</v>
      </c>
      <c r="M998" s="191">
        <v>0</v>
      </c>
      <c r="N998" s="191">
        <v>0</v>
      </c>
      <c r="O998" s="191">
        <v>0</v>
      </c>
      <c r="P998" s="193">
        <v>3000</v>
      </c>
    </row>
    <row r="999" spans="1:16" x14ac:dyDescent="0.25">
      <c r="A999" s="190">
        <v>801010402</v>
      </c>
      <c r="B999" s="190" t="s">
        <v>421</v>
      </c>
      <c r="C999" s="190">
        <v>3451</v>
      </c>
      <c r="D999" s="190" t="s">
        <v>408</v>
      </c>
      <c r="E999" s="191">
        <v>0</v>
      </c>
      <c r="F999" s="193">
        <v>18314.11</v>
      </c>
      <c r="G999" s="193">
        <v>3721.33</v>
      </c>
      <c r="H999" s="191">
        <v>0</v>
      </c>
      <c r="I999" s="191">
        <v>0</v>
      </c>
      <c r="J999" s="191">
        <v>0</v>
      </c>
      <c r="K999" s="191">
        <v>0</v>
      </c>
      <c r="L999" s="191">
        <v>0</v>
      </c>
      <c r="M999" s="191">
        <v>0</v>
      </c>
      <c r="N999" s="191">
        <v>0</v>
      </c>
      <c r="O999" s="191">
        <v>0</v>
      </c>
      <c r="P999" s="191">
        <v>0</v>
      </c>
    </row>
    <row r="1000" spans="1:16" x14ac:dyDescent="0.25">
      <c r="A1000" s="190">
        <v>801010402</v>
      </c>
      <c r="B1000" s="190" t="s">
        <v>422</v>
      </c>
      <c r="C1000" s="190">
        <v>3451</v>
      </c>
      <c r="D1000" s="190" t="s">
        <v>408</v>
      </c>
      <c r="E1000" s="191">
        <v>0</v>
      </c>
      <c r="F1000" s="193">
        <v>18314.11</v>
      </c>
      <c r="G1000" s="193">
        <v>3721.33</v>
      </c>
      <c r="H1000" s="191">
        <v>0</v>
      </c>
      <c r="I1000" s="191">
        <v>0</v>
      </c>
      <c r="J1000" s="191">
        <v>0</v>
      </c>
      <c r="K1000" s="191">
        <v>0</v>
      </c>
      <c r="L1000" s="191">
        <v>0</v>
      </c>
      <c r="M1000" s="191">
        <v>0</v>
      </c>
      <c r="N1000" s="191">
        <v>0</v>
      </c>
      <c r="O1000" s="191">
        <v>0</v>
      </c>
      <c r="P1000" s="191">
        <v>0</v>
      </c>
    </row>
    <row r="1001" spans="1:16" x14ac:dyDescent="0.25">
      <c r="A1001" s="190">
        <v>801010402</v>
      </c>
      <c r="B1001" s="190" t="s">
        <v>423</v>
      </c>
      <c r="C1001" s="190">
        <v>3451</v>
      </c>
      <c r="D1001" s="190" t="s">
        <v>408</v>
      </c>
      <c r="E1001" s="191">
        <v>0</v>
      </c>
      <c r="F1001" s="193">
        <v>18314.11</v>
      </c>
      <c r="G1001" s="193">
        <v>3721.33</v>
      </c>
      <c r="H1001" s="191">
        <v>0</v>
      </c>
      <c r="I1001" s="191">
        <v>0</v>
      </c>
      <c r="J1001" s="191">
        <v>0</v>
      </c>
      <c r="K1001" s="191">
        <v>0</v>
      </c>
      <c r="L1001" s="191">
        <v>0</v>
      </c>
      <c r="M1001" s="191">
        <v>0</v>
      </c>
      <c r="N1001" s="191">
        <v>0</v>
      </c>
      <c r="O1001" s="191">
        <v>0</v>
      </c>
      <c r="P1001" s="191">
        <v>0</v>
      </c>
    </row>
    <row r="1002" spans="1:16" x14ac:dyDescent="0.25">
      <c r="A1002" s="190">
        <v>801010402</v>
      </c>
      <c r="B1002" s="190" t="s">
        <v>424</v>
      </c>
      <c r="C1002" s="190">
        <v>3451</v>
      </c>
      <c r="D1002" s="190" t="s">
        <v>408</v>
      </c>
      <c r="E1002" s="191">
        <v>0</v>
      </c>
      <c r="F1002" s="193">
        <v>18314.11</v>
      </c>
      <c r="G1002" s="193">
        <v>3721.33</v>
      </c>
      <c r="H1002" s="191">
        <v>0</v>
      </c>
      <c r="I1002" s="191">
        <v>0</v>
      </c>
      <c r="J1002" s="191">
        <v>0</v>
      </c>
      <c r="K1002" s="191">
        <v>0</v>
      </c>
      <c r="L1002" s="191">
        <v>0</v>
      </c>
      <c r="M1002" s="191">
        <v>0</v>
      </c>
      <c r="N1002" s="191">
        <v>0</v>
      </c>
      <c r="O1002" s="191">
        <v>0</v>
      </c>
      <c r="P1002" s="191">
        <v>0</v>
      </c>
    </row>
    <row r="1003" spans="1:16" x14ac:dyDescent="0.25">
      <c r="A1003" s="190">
        <v>801010402</v>
      </c>
      <c r="B1003" s="190" t="s">
        <v>425</v>
      </c>
      <c r="C1003" s="190">
        <v>3451</v>
      </c>
      <c r="D1003" s="190" t="s">
        <v>408</v>
      </c>
      <c r="E1003" s="191">
        <v>0</v>
      </c>
      <c r="F1003" s="193">
        <v>18314.11</v>
      </c>
      <c r="G1003" s="193">
        <v>3721.33</v>
      </c>
      <c r="H1003" s="191">
        <v>0</v>
      </c>
      <c r="I1003" s="191">
        <v>0</v>
      </c>
      <c r="J1003" s="191">
        <v>0</v>
      </c>
      <c r="K1003" s="191">
        <v>0</v>
      </c>
      <c r="L1003" s="191">
        <v>0</v>
      </c>
      <c r="M1003" s="191">
        <v>0</v>
      </c>
      <c r="N1003" s="191">
        <v>0</v>
      </c>
      <c r="O1003" s="191">
        <v>0</v>
      </c>
      <c r="P1003" s="191">
        <v>0</v>
      </c>
    </row>
    <row r="1004" spans="1:16" x14ac:dyDescent="0.25">
      <c r="A1004" s="190">
        <v>801010402</v>
      </c>
      <c r="B1004" s="190" t="s">
        <v>426</v>
      </c>
      <c r="C1004" s="190">
        <v>3451</v>
      </c>
      <c r="D1004" s="190" t="s">
        <v>408</v>
      </c>
      <c r="E1004" s="191">
        <v>0</v>
      </c>
      <c r="F1004" s="193">
        <v>14044.13</v>
      </c>
      <c r="G1004" s="193">
        <v>3721.33</v>
      </c>
      <c r="H1004" s="191">
        <v>0</v>
      </c>
      <c r="I1004" s="191">
        <v>0</v>
      </c>
      <c r="J1004" s="191">
        <v>0</v>
      </c>
      <c r="K1004" s="191">
        <v>0</v>
      </c>
      <c r="L1004" s="191">
        <v>0</v>
      </c>
      <c r="M1004" s="191">
        <v>0</v>
      </c>
      <c r="N1004" s="191">
        <v>0</v>
      </c>
      <c r="O1004" s="191">
        <v>0</v>
      </c>
      <c r="P1004" s="191">
        <v>0</v>
      </c>
    </row>
    <row r="1005" spans="1:16" x14ac:dyDescent="0.25">
      <c r="A1005" s="190">
        <v>801010402</v>
      </c>
      <c r="B1005" s="190" t="s">
        <v>427</v>
      </c>
      <c r="C1005" s="190">
        <v>3451</v>
      </c>
      <c r="D1005" s="190" t="s">
        <v>408</v>
      </c>
      <c r="E1005" s="191">
        <v>0</v>
      </c>
      <c r="F1005" s="193">
        <v>18314.11</v>
      </c>
      <c r="G1005" s="193">
        <v>3721.33</v>
      </c>
      <c r="H1005" s="191">
        <v>0</v>
      </c>
      <c r="I1005" s="191">
        <v>0</v>
      </c>
      <c r="J1005" s="191">
        <v>0</v>
      </c>
      <c r="K1005" s="191">
        <v>0</v>
      </c>
      <c r="L1005" s="191">
        <v>0</v>
      </c>
      <c r="M1005" s="191">
        <v>0</v>
      </c>
      <c r="N1005" s="191">
        <v>0</v>
      </c>
      <c r="O1005" s="191">
        <v>0</v>
      </c>
      <c r="P1005" s="191">
        <v>0</v>
      </c>
    </row>
    <row r="1006" spans="1:16" x14ac:dyDescent="0.25">
      <c r="A1006" s="190">
        <v>801010402</v>
      </c>
      <c r="B1006" s="190" t="s">
        <v>428</v>
      </c>
      <c r="C1006" s="190">
        <v>3451</v>
      </c>
      <c r="D1006" s="190" t="s">
        <v>408</v>
      </c>
      <c r="E1006" s="191">
        <v>0</v>
      </c>
      <c r="F1006" s="193">
        <v>18314.11</v>
      </c>
      <c r="G1006" s="193">
        <v>3721.33</v>
      </c>
      <c r="H1006" s="191">
        <v>0</v>
      </c>
      <c r="I1006" s="191">
        <v>0</v>
      </c>
      <c r="J1006" s="191">
        <v>0</v>
      </c>
      <c r="K1006" s="191">
        <v>0</v>
      </c>
      <c r="L1006" s="191">
        <v>0</v>
      </c>
      <c r="M1006" s="191">
        <v>0</v>
      </c>
      <c r="N1006" s="191">
        <v>0</v>
      </c>
      <c r="O1006" s="191">
        <v>0</v>
      </c>
      <c r="P1006" s="191">
        <v>0</v>
      </c>
    </row>
    <row r="1007" spans="1:16" x14ac:dyDescent="0.25">
      <c r="A1007" s="190">
        <v>801010402</v>
      </c>
      <c r="B1007" s="190" t="s">
        <v>429</v>
      </c>
      <c r="C1007" s="190">
        <v>3451</v>
      </c>
      <c r="D1007" s="190" t="s">
        <v>408</v>
      </c>
      <c r="E1007" s="191">
        <v>0</v>
      </c>
      <c r="F1007" s="193">
        <v>18314.11</v>
      </c>
      <c r="G1007" s="193">
        <v>3721.33</v>
      </c>
      <c r="H1007" s="191">
        <v>0</v>
      </c>
      <c r="I1007" s="191">
        <v>0</v>
      </c>
      <c r="J1007" s="191">
        <v>0</v>
      </c>
      <c r="K1007" s="191">
        <v>0</v>
      </c>
      <c r="L1007" s="191">
        <v>0</v>
      </c>
      <c r="M1007" s="191">
        <v>0</v>
      </c>
      <c r="N1007" s="191">
        <v>0</v>
      </c>
      <c r="O1007" s="191">
        <v>0</v>
      </c>
      <c r="P1007" s="191">
        <v>0</v>
      </c>
    </row>
    <row r="1008" spans="1:16" x14ac:dyDescent="0.25">
      <c r="A1008" s="190">
        <v>801010402</v>
      </c>
      <c r="B1008" s="190" t="s">
        <v>430</v>
      </c>
      <c r="C1008" s="190">
        <v>3451</v>
      </c>
      <c r="D1008" s="190" t="s">
        <v>408</v>
      </c>
      <c r="E1008" s="191">
        <v>0</v>
      </c>
      <c r="F1008" s="193">
        <v>18314.11</v>
      </c>
      <c r="G1008" s="193">
        <v>3721.33</v>
      </c>
      <c r="H1008" s="191">
        <v>0</v>
      </c>
      <c r="I1008" s="191">
        <v>0</v>
      </c>
      <c r="J1008" s="191">
        <v>0</v>
      </c>
      <c r="K1008" s="191">
        <v>0</v>
      </c>
      <c r="L1008" s="191">
        <v>0</v>
      </c>
      <c r="M1008" s="191">
        <v>0</v>
      </c>
      <c r="N1008" s="191">
        <v>0</v>
      </c>
      <c r="O1008" s="191">
        <v>0</v>
      </c>
      <c r="P1008" s="191">
        <v>0</v>
      </c>
    </row>
    <row r="1009" spans="1:16" x14ac:dyDescent="0.25">
      <c r="A1009" s="190">
        <v>801010402</v>
      </c>
      <c r="B1009" s="190" t="s">
        <v>431</v>
      </c>
      <c r="C1009" s="190">
        <v>3451</v>
      </c>
      <c r="D1009" s="190" t="s">
        <v>408</v>
      </c>
      <c r="E1009" s="191">
        <v>0</v>
      </c>
      <c r="F1009" s="193">
        <v>18314.11</v>
      </c>
      <c r="G1009" s="193">
        <v>3721.33</v>
      </c>
      <c r="H1009" s="191">
        <v>0</v>
      </c>
      <c r="I1009" s="191">
        <v>0</v>
      </c>
      <c r="J1009" s="191">
        <v>0</v>
      </c>
      <c r="K1009" s="191">
        <v>0</v>
      </c>
      <c r="L1009" s="191">
        <v>0</v>
      </c>
      <c r="M1009" s="191">
        <v>0</v>
      </c>
      <c r="N1009" s="191">
        <v>0</v>
      </c>
      <c r="O1009" s="191">
        <v>0</v>
      </c>
      <c r="P1009" s="191">
        <v>0</v>
      </c>
    </row>
    <row r="1010" spans="1:16" x14ac:dyDescent="0.25">
      <c r="A1010" s="190">
        <v>801010402</v>
      </c>
      <c r="B1010" s="190" t="s">
        <v>432</v>
      </c>
      <c r="C1010" s="190">
        <v>3451</v>
      </c>
      <c r="D1010" s="190" t="s">
        <v>408</v>
      </c>
      <c r="E1010" s="191">
        <v>0</v>
      </c>
      <c r="F1010" s="193">
        <v>19770.05</v>
      </c>
      <c r="G1010" s="193">
        <v>3721.33</v>
      </c>
      <c r="H1010" s="191">
        <v>0</v>
      </c>
      <c r="I1010" s="191">
        <v>0</v>
      </c>
      <c r="J1010" s="191">
        <v>0</v>
      </c>
      <c r="K1010" s="191">
        <v>0</v>
      </c>
      <c r="L1010" s="191">
        <v>0</v>
      </c>
      <c r="M1010" s="191">
        <v>0</v>
      </c>
      <c r="N1010" s="191">
        <v>0</v>
      </c>
      <c r="O1010" s="191">
        <v>0</v>
      </c>
      <c r="P1010" s="191">
        <v>0</v>
      </c>
    </row>
    <row r="1011" spans="1:16" x14ac:dyDescent="0.25">
      <c r="A1011" s="190">
        <v>801010402</v>
      </c>
      <c r="B1011" s="190" t="s">
        <v>433</v>
      </c>
      <c r="C1011" s="190">
        <v>3451</v>
      </c>
      <c r="D1011" s="190" t="s">
        <v>408</v>
      </c>
      <c r="E1011" s="191">
        <v>0</v>
      </c>
      <c r="F1011" s="191">
        <v>0</v>
      </c>
      <c r="G1011" s="193">
        <v>3721.33</v>
      </c>
      <c r="H1011" s="191">
        <v>0</v>
      </c>
      <c r="I1011" s="191">
        <v>0</v>
      </c>
      <c r="J1011" s="191">
        <v>0</v>
      </c>
      <c r="K1011" s="191">
        <v>0</v>
      </c>
      <c r="L1011" s="191">
        <v>0</v>
      </c>
      <c r="M1011" s="191">
        <v>0</v>
      </c>
      <c r="N1011" s="191">
        <v>0</v>
      </c>
      <c r="O1011" s="191">
        <v>0</v>
      </c>
      <c r="P1011" s="191">
        <v>0</v>
      </c>
    </row>
    <row r="1012" spans="1:16" x14ac:dyDescent="0.25">
      <c r="A1012" s="190">
        <v>801010402</v>
      </c>
      <c r="B1012" s="190" t="s">
        <v>434</v>
      </c>
      <c r="C1012" s="190">
        <v>3451</v>
      </c>
      <c r="D1012" s="190" t="s">
        <v>408</v>
      </c>
      <c r="E1012" s="191">
        <v>0</v>
      </c>
      <c r="F1012" s="191">
        <v>0</v>
      </c>
      <c r="G1012" s="193">
        <v>3721.33</v>
      </c>
      <c r="H1012" s="191">
        <v>0</v>
      </c>
      <c r="I1012" s="191">
        <v>0</v>
      </c>
      <c r="J1012" s="191">
        <v>0</v>
      </c>
      <c r="K1012" s="191">
        <v>0</v>
      </c>
      <c r="L1012" s="191">
        <v>0</v>
      </c>
      <c r="M1012" s="191">
        <v>0</v>
      </c>
      <c r="N1012" s="191">
        <v>0</v>
      </c>
      <c r="O1012" s="191">
        <v>0</v>
      </c>
      <c r="P1012" s="191">
        <v>0</v>
      </c>
    </row>
    <row r="1013" spans="1:16" x14ac:dyDescent="0.25">
      <c r="A1013" s="190">
        <v>801010402</v>
      </c>
      <c r="B1013" s="190" t="s">
        <v>435</v>
      </c>
      <c r="C1013" s="190">
        <v>3451</v>
      </c>
      <c r="D1013" s="190" t="s">
        <v>408</v>
      </c>
      <c r="E1013" s="191">
        <v>0</v>
      </c>
      <c r="F1013" s="191">
        <v>0</v>
      </c>
      <c r="G1013" s="193">
        <v>1782.18</v>
      </c>
      <c r="H1013" s="191">
        <v>0</v>
      </c>
      <c r="I1013" s="191">
        <v>0</v>
      </c>
      <c r="J1013" s="191">
        <v>0</v>
      </c>
      <c r="K1013" s="191">
        <v>0</v>
      </c>
      <c r="L1013" s="191">
        <v>0</v>
      </c>
      <c r="M1013" s="191">
        <v>0</v>
      </c>
      <c r="N1013" s="191">
        <v>0</v>
      </c>
      <c r="O1013" s="191">
        <v>0</v>
      </c>
      <c r="P1013" s="191">
        <v>0</v>
      </c>
    </row>
    <row r="1014" spans="1:16" x14ac:dyDescent="0.25">
      <c r="A1014" s="190">
        <v>801010402</v>
      </c>
      <c r="B1014" s="190" t="s">
        <v>437</v>
      </c>
      <c r="C1014" s="190">
        <v>3451</v>
      </c>
      <c r="D1014" s="190" t="s">
        <v>408</v>
      </c>
      <c r="E1014" s="191">
        <v>0</v>
      </c>
      <c r="F1014" s="193">
        <v>18314.11</v>
      </c>
      <c r="G1014" s="191">
        <v>0</v>
      </c>
      <c r="H1014" s="191">
        <v>0</v>
      </c>
      <c r="I1014" s="191">
        <v>0</v>
      </c>
      <c r="J1014" s="191">
        <v>0</v>
      </c>
      <c r="K1014" s="191">
        <v>0</v>
      </c>
      <c r="L1014" s="191">
        <v>0</v>
      </c>
      <c r="M1014" s="191">
        <v>0</v>
      </c>
      <c r="N1014" s="191">
        <v>0</v>
      </c>
      <c r="O1014" s="191">
        <v>0</v>
      </c>
      <c r="P1014" s="191">
        <v>0</v>
      </c>
    </row>
    <row r="1015" spans="1:16" x14ac:dyDescent="0.25">
      <c r="A1015" s="190">
        <v>801010402</v>
      </c>
      <c r="B1015" s="190" t="s">
        <v>407</v>
      </c>
      <c r="C1015" s="190">
        <v>3471</v>
      </c>
      <c r="D1015" s="190" t="s">
        <v>408</v>
      </c>
      <c r="E1015" s="191">
        <v>0</v>
      </c>
      <c r="F1015" s="191">
        <v>0</v>
      </c>
      <c r="G1015" s="191">
        <v>0</v>
      </c>
      <c r="H1015" s="191">
        <v>0</v>
      </c>
      <c r="I1015" s="191">
        <v>0</v>
      </c>
      <c r="J1015" s="191">
        <v>0</v>
      </c>
      <c r="K1015" s="193">
        <v>8120</v>
      </c>
      <c r="L1015" s="191">
        <v>0</v>
      </c>
      <c r="M1015" s="191">
        <v>0</v>
      </c>
      <c r="N1015" s="191">
        <v>0</v>
      </c>
      <c r="O1015" s="191">
        <v>0</v>
      </c>
      <c r="P1015" s="191">
        <v>0</v>
      </c>
    </row>
    <row r="1016" spans="1:16" x14ac:dyDescent="0.25">
      <c r="A1016" s="190">
        <v>801010402</v>
      </c>
      <c r="B1016" s="190" t="s">
        <v>407</v>
      </c>
      <c r="C1016" s="190">
        <v>3511</v>
      </c>
      <c r="D1016" s="190" t="s">
        <v>408</v>
      </c>
      <c r="E1016" s="191">
        <v>0</v>
      </c>
      <c r="F1016" s="191">
        <v>0</v>
      </c>
      <c r="G1016" s="193">
        <v>3366.9</v>
      </c>
      <c r="H1016" s="191">
        <v>0</v>
      </c>
      <c r="I1016" s="191">
        <v>0</v>
      </c>
      <c r="J1016" s="193">
        <v>76157.94</v>
      </c>
      <c r="K1016" s="191">
        <v>0</v>
      </c>
      <c r="L1016" s="193">
        <v>2459.1999999999998</v>
      </c>
      <c r="M1016" s="191">
        <v>0</v>
      </c>
      <c r="N1016" s="193">
        <v>32930.080000000002</v>
      </c>
      <c r="O1016" s="193">
        <v>522882.99</v>
      </c>
      <c r="P1016" s="191">
        <v>0</v>
      </c>
    </row>
    <row r="1017" spans="1:16" x14ac:dyDescent="0.25">
      <c r="A1017" s="190">
        <v>801010402</v>
      </c>
      <c r="B1017" s="190" t="s">
        <v>410</v>
      </c>
      <c r="C1017" s="190">
        <v>3511</v>
      </c>
      <c r="D1017" s="190" t="s">
        <v>408</v>
      </c>
      <c r="E1017" s="191">
        <v>0</v>
      </c>
      <c r="F1017" s="191">
        <v>0</v>
      </c>
      <c r="G1017" s="191">
        <v>0</v>
      </c>
      <c r="H1017" s="191">
        <v>0</v>
      </c>
      <c r="I1017" s="191">
        <v>0</v>
      </c>
      <c r="J1017" s="193">
        <v>14228.8</v>
      </c>
      <c r="K1017" s="191">
        <v>0</v>
      </c>
      <c r="L1017" s="191">
        <v>0</v>
      </c>
      <c r="M1017" s="191">
        <v>0</v>
      </c>
      <c r="N1017" s="191">
        <v>0</v>
      </c>
      <c r="O1017" s="191">
        <v>0</v>
      </c>
      <c r="P1017" s="191">
        <v>0</v>
      </c>
    </row>
    <row r="1018" spans="1:16" x14ac:dyDescent="0.25">
      <c r="A1018" s="190">
        <v>801010402</v>
      </c>
      <c r="B1018" s="190" t="s">
        <v>412</v>
      </c>
      <c r="C1018" s="190">
        <v>3511</v>
      </c>
      <c r="D1018" s="190" t="s">
        <v>408</v>
      </c>
      <c r="E1018" s="191">
        <v>0</v>
      </c>
      <c r="F1018" s="191">
        <v>0</v>
      </c>
      <c r="G1018" s="191">
        <v>0</v>
      </c>
      <c r="H1018" s="191">
        <v>0</v>
      </c>
      <c r="I1018" s="191">
        <v>0</v>
      </c>
      <c r="J1018" s="193">
        <v>158773.1</v>
      </c>
      <c r="K1018" s="191">
        <v>0</v>
      </c>
      <c r="L1018" s="191">
        <v>0</v>
      </c>
      <c r="M1018" s="191">
        <v>0</v>
      </c>
      <c r="N1018" s="191">
        <v>0</v>
      </c>
      <c r="O1018" s="191">
        <v>0</v>
      </c>
      <c r="P1018" s="191">
        <v>0</v>
      </c>
    </row>
    <row r="1019" spans="1:16" x14ac:dyDescent="0.25">
      <c r="A1019" s="190">
        <v>801010402</v>
      </c>
      <c r="B1019" s="190" t="s">
        <v>415</v>
      </c>
      <c r="C1019" s="190">
        <v>3511</v>
      </c>
      <c r="D1019" s="190" t="s">
        <v>408</v>
      </c>
      <c r="E1019" s="191">
        <v>0</v>
      </c>
      <c r="F1019" s="191">
        <v>0</v>
      </c>
      <c r="G1019" s="191">
        <v>0</v>
      </c>
      <c r="H1019" s="191">
        <v>0</v>
      </c>
      <c r="I1019" s="191">
        <v>0</v>
      </c>
      <c r="J1019" s="193">
        <v>3480</v>
      </c>
      <c r="K1019" s="191">
        <v>0</v>
      </c>
      <c r="L1019" s="191">
        <v>0</v>
      </c>
      <c r="M1019" s="191">
        <v>0</v>
      </c>
      <c r="N1019" s="191">
        <v>0</v>
      </c>
      <c r="O1019" s="191">
        <v>0</v>
      </c>
      <c r="P1019" s="191">
        <v>0</v>
      </c>
    </row>
    <row r="1020" spans="1:16" x14ac:dyDescent="0.25">
      <c r="A1020" s="190">
        <v>801010402</v>
      </c>
      <c r="B1020" s="190" t="s">
        <v>416</v>
      </c>
      <c r="C1020" s="190">
        <v>3511</v>
      </c>
      <c r="D1020" s="190" t="s">
        <v>408</v>
      </c>
      <c r="E1020" s="191">
        <v>0</v>
      </c>
      <c r="F1020" s="191">
        <v>0</v>
      </c>
      <c r="G1020" s="191">
        <v>0</v>
      </c>
      <c r="H1020" s="191">
        <v>0</v>
      </c>
      <c r="I1020" s="191">
        <v>0</v>
      </c>
      <c r="J1020" s="191">
        <v>0</v>
      </c>
      <c r="K1020" s="193">
        <v>2552</v>
      </c>
      <c r="L1020" s="193">
        <v>3886</v>
      </c>
      <c r="M1020" s="191">
        <v>0</v>
      </c>
      <c r="N1020" s="191">
        <v>0</v>
      </c>
      <c r="O1020" s="191">
        <v>0</v>
      </c>
      <c r="P1020" s="191">
        <v>0</v>
      </c>
    </row>
    <row r="1021" spans="1:16" x14ac:dyDescent="0.25">
      <c r="A1021" s="190">
        <v>801010402</v>
      </c>
      <c r="B1021" s="190" t="s">
        <v>417</v>
      </c>
      <c r="C1021" s="190">
        <v>3511</v>
      </c>
      <c r="D1021" s="190" t="s">
        <v>408</v>
      </c>
      <c r="E1021" s="191">
        <v>0</v>
      </c>
      <c r="F1021" s="191">
        <v>0</v>
      </c>
      <c r="G1021" s="191">
        <v>0</v>
      </c>
      <c r="H1021" s="191">
        <v>0</v>
      </c>
      <c r="I1021" s="191">
        <v>0</v>
      </c>
      <c r="J1021" s="191">
        <v>0</v>
      </c>
      <c r="K1021" s="191">
        <v>0</v>
      </c>
      <c r="L1021" s="191">
        <v>0</v>
      </c>
      <c r="M1021" s="193">
        <v>1226</v>
      </c>
      <c r="N1021" s="191">
        <v>0</v>
      </c>
      <c r="O1021" s="191">
        <v>0</v>
      </c>
      <c r="P1021" s="191">
        <v>0</v>
      </c>
    </row>
    <row r="1022" spans="1:16" x14ac:dyDescent="0.25">
      <c r="A1022" s="190">
        <v>801010402</v>
      </c>
      <c r="B1022" s="190" t="s">
        <v>426</v>
      </c>
      <c r="C1022" s="190">
        <v>3511</v>
      </c>
      <c r="D1022" s="190" t="s">
        <v>408</v>
      </c>
      <c r="E1022" s="191">
        <v>0</v>
      </c>
      <c r="F1022" s="191">
        <v>0</v>
      </c>
      <c r="G1022" s="191">
        <v>0</v>
      </c>
      <c r="H1022" s="191">
        <v>0</v>
      </c>
      <c r="I1022" s="191">
        <v>0</v>
      </c>
      <c r="J1022" s="191">
        <v>0</v>
      </c>
      <c r="K1022" s="191">
        <v>0</v>
      </c>
      <c r="L1022" s="191">
        <v>0</v>
      </c>
      <c r="M1022" s="193">
        <v>1345</v>
      </c>
      <c r="N1022" s="191">
        <v>0</v>
      </c>
      <c r="O1022" s="191">
        <v>0</v>
      </c>
      <c r="P1022" s="191">
        <v>0</v>
      </c>
    </row>
    <row r="1023" spans="1:16" x14ac:dyDescent="0.25">
      <c r="A1023" s="190">
        <v>801010402</v>
      </c>
      <c r="B1023" s="190" t="s">
        <v>428</v>
      </c>
      <c r="C1023" s="190">
        <v>3511</v>
      </c>
      <c r="D1023" s="190" t="s">
        <v>408</v>
      </c>
      <c r="E1023" s="191">
        <v>0</v>
      </c>
      <c r="F1023" s="191">
        <v>0</v>
      </c>
      <c r="G1023" s="193">
        <v>36597.980000000003</v>
      </c>
      <c r="H1023" s="191">
        <v>0</v>
      </c>
      <c r="I1023" s="191">
        <v>0</v>
      </c>
      <c r="J1023" s="191">
        <v>0</v>
      </c>
      <c r="K1023" s="191">
        <v>0</v>
      </c>
      <c r="L1023" s="191">
        <v>763.9</v>
      </c>
      <c r="M1023" s="191">
        <v>0</v>
      </c>
      <c r="N1023" s="193">
        <v>3393</v>
      </c>
      <c r="O1023" s="191">
        <v>0</v>
      </c>
      <c r="P1023" s="191">
        <v>0</v>
      </c>
    </row>
    <row r="1024" spans="1:16" x14ac:dyDescent="0.25">
      <c r="A1024" s="190">
        <v>801010402</v>
      </c>
      <c r="B1024" s="190" t="s">
        <v>430</v>
      </c>
      <c r="C1024" s="190">
        <v>3511</v>
      </c>
      <c r="D1024" s="190" t="s">
        <v>408</v>
      </c>
      <c r="E1024" s="191">
        <v>0</v>
      </c>
      <c r="F1024" s="191">
        <v>0</v>
      </c>
      <c r="G1024" s="191">
        <v>0</v>
      </c>
      <c r="H1024" s="191">
        <v>0</v>
      </c>
      <c r="I1024" s="191">
        <v>0</v>
      </c>
      <c r="J1024" s="191">
        <v>0</v>
      </c>
      <c r="K1024" s="191">
        <v>0</v>
      </c>
      <c r="L1024" s="193">
        <v>5864</v>
      </c>
      <c r="M1024" s="191">
        <v>0</v>
      </c>
      <c r="N1024" s="193">
        <v>84377.84</v>
      </c>
      <c r="O1024" s="191">
        <v>0</v>
      </c>
      <c r="P1024" s="191">
        <v>0</v>
      </c>
    </row>
    <row r="1025" spans="1:16" x14ac:dyDescent="0.25">
      <c r="A1025" s="190">
        <v>801010402</v>
      </c>
      <c r="B1025" s="190" t="s">
        <v>432</v>
      </c>
      <c r="C1025" s="190">
        <v>3511</v>
      </c>
      <c r="D1025" s="190" t="s">
        <v>408</v>
      </c>
      <c r="E1025" s="191">
        <v>0</v>
      </c>
      <c r="F1025" s="191">
        <v>0</v>
      </c>
      <c r="G1025" s="191">
        <v>0</v>
      </c>
      <c r="H1025" s="191">
        <v>0</v>
      </c>
      <c r="I1025" s="191">
        <v>0</v>
      </c>
      <c r="J1025" s="191">
        <v>0</v>
      </c>
      <c r="K1025" s="193">
        <v>15776</v>
      </c>
      <c r="L1025" s="191">
        <v>0</v>
      </c>
      <c r="M1025" s="191">
        <v>0</v>
      </c>
      <c r="N1025" s="191">
        <v>0</v>
      </c>
      <c r="O1025" s="191">
        <v>0</v>
      </c>
      <c r="P1025" s="191">
        <v>0</v>
      </c>
    </row>
    <row r="1026" spans="1:16" x14ac:dyDescent="0.25">
      <c r="A1026" s="190">
        <v>801010402</v>
      </c>
      <c r="B1026" s="190" t="s">
        <v>437</v>
      </c>
      <c r="C1026" s="190">
        <v>3511</v>
      </c>
      <c r="D1026" s="190" t="s">
        <v>408</v>
      </c>
      <c r="E1026" s="191">
        <v>0</v>
      </c>
      <c r="F1026" s="191">
        <v>0</v>
      </c>
      <c r="G1026" s="191">
        <v>0</v>
      </c>
      <c r="H1026" s="191">
        <v>0</v>
      </c>
      <c r="I1026" s="191">
        <v>0</v>
      </c>
      <c r="J1026" s="193">
        <v>306674.96999999997</v>
      </c>
      <c r="K1026" s="191">
        <v>0</v>
      </c>
      <c r="L1026" s="191">
        <v>0</v>
      </c>
      <c r="M1026" s="193">
        <v>497894.33</v>
      </c>
      <c r="N1026" s="191">
        <v>0</v>
      </c>
      <c r="O1026" s="191">
        <v>0</v>
      </c>
      <c r="P1026" s="191">
        <v>0</v>
      </c>
    </row>
    <row r="1027" spans="1:16" x14ac:dyDescent="0.25">
      <c r="A1027" s="190">
        <v>801010402</v>
      </c>
      <c r="B1027" s="190" t="s">
        <v>414</v>
      </c>
      <c r="C1027" s="190">
        <v>3512</v>
      </c>
      <c r="D1027" s="190" t="s">
        <v>408</v>
      </c>
      <c r="E1027" s="191">
        <v>0</v>
      </c>
      <c r="F1027" s="191">
        <v>0</v>
      </c>
      <c r="G1027" s="191">
        <v>0</v>
      </c>
      <c r="H1027" s="191">
        <v>0</v>
      </c>
      <c r="I1027" s="191">
        <v>0</v>
      </c>
      <c r="J1027" s="191">
        <v>0</v>
      </c>
      <c r="K1027" s="191">
        <v>0</v>
      </c>
      <c r="L1027" s="193">
        <v>193897.47</v>
      </c>
      <c r="M1027" s="191">
        <v>0</v>
      </c>
      <c r="N1027" s="193">
        <v>13127.26</v>
      </c>
      <c r="O1027" s="191">
        <v>0</v>
      </c>
      <c r="P1027" s="191">
        <v>0</v>
      </c>
    </row>
    <row r="1028" spans="1:16" x14ac:dyDescent="0.25">
      <c r="A1028" s="190">
        <v>801010402</v>
      </c>
      <c r="B1028" s="190" t="s">
        <v>419</v>
      </c>
      <c r="C1028" s="190">
        <v>3512</v>
      </c>
      <c r="D1028" s="190" t="s">
        <v>408</v>
      </c>
      <c r="E1028" s="191">
        <v>0</v>
      </c>
      <c r="F1028" s="191">
        <v>0</v>
      </c>
      <c r="G1028" s="191">
        <v>0</v>
      </c>
      <c r="H1028" s="191">
        <v>0</v>
      </c>
      <c r="I1028" s="191">
        <v>0</v>
      </c>
      <c r="J1028" s="191">
        <v>0</v>
      </c>
      <c r="K1028" s="191">
        <v>0</v>
      </c>
      <c r="L1028" s="191">
        <v>0</v>
      </c>
      <c r="M1028" s="193">
        <v>15280.67</v>
      </c>
      <c r="N1028" s="191">
        <v>0</v>
      </c>
      <c r="O1028" s="191">
        <v>0</v>
      </c>
      <c r="P1028" s="191">
        <v>0</v>
      </c>
    </row>
    <row r="1029" spans="1:16" x14ac:dyDescent="0.25">
      <c r="A1029" s="190">
        <v>801010402</v>
      </c>
      <c r="B1029" s="190" t="s">
        <v>421</v>
      </c>
      <c r="C1029" s="190">
        <v>3512</v>
      </c>
      <c r="D1029" s="190" t="s">
        <v>408</v>
      </c>
      <c r="E1029" s="191">
        <v>0</v>
      </c>
      <c r="F1029" s="191">
        <v>0</v>
      </c>
      <c r="G1029" s="191">
        <v>0</v>
      </c>
      <c r="H1029" s="191">
        <v>0</v>
      </c>
      <c r="I1029" s="191">
        <v>0</v>
      </c>
      <c r="J1029" s="191">
        <v>0</v>
      </c>
      <c r="K1029" s="191">
        <v>0</v>
      </c>
      <c r="L1029" s="191">
        <v>0</v>
      </c>
      <c r="M1029" s="191">
        <v>977.6</v>
      </c>
      <c r="N1029" s="193">
        <v>17400</v>
      </c>
      <c r="O1029" s="191">
        <v>0</v>
      </c>
      <c r="P1029" s="191">
        <v>0</v>
      </c>
    </row>
    <row r="1030" spans="1:16" x14ac:dyDescent="0.25">
      <c r="A1030" s="190">
        <v>801010402</v>
      </c>
      <c r="B1030" s="190" t="s">
        <v>429</v>
      </c>
      <c r="C1030" s="190">
        <v>3512</v>
      </c>
      <c r="D1030" s="190" t="s">
        <v>408</v>
      </c>
      <c r="E1030" s="191">
        <v>0</v>
      </c>
      <c r="F1030" s="191">
        <v>0</v>
      </c>
      <c r="G1030" s="191">
        <v>0</v>
      </c>
      <c r="H1030" s="193">
        <v>21477.52</v>
      </c>
      <c r="I1030" s="191">
        <v>0</v>
      </c>
      <c r="J1030" s="191">
        <v>0</v>
      </c>
      <c r="K1030" s="191">
        <v>0</v>
      </c>
      <c r="L1030" s="191">
        <v>0</v>
      </c>
      <c r="M1030" s="191">
        <v>0</v>
      </c>
      <c r="N1030" s="191">
        <v>0</v>
      </c>
      <c r="O1030" s="191">
        <v>0</v>
      </c>
      <c r="P1030" s="191">
        <v>0</v>
      </c>
    </row>
    <row r="1031" spans="1:16" x14ac:dyDescent="0.25">
      <c r="A1031" s="190">
        <v>801010402</v>
      </c>
      <c r="B1031" s="190" t="s">
        <v>432</v>
      </c>
      <c r="C1031" s="190">
        <v>3512</v>
      </c>
      <c r="D1031" s="190" t="s">
        <v>408</v>
      </c>
      <c r="E1031" s="191">
        <v>0</v>
      </c>
      <c r="F1031" s="191">
        <v>0</v>
      </c>
      <c r="G1031" s="191">
        <v>0</v>
      </c>
      <c r="H1031" s="193">
        <v>15776</v>
      </c>
      <c r="I1031" s="191">
        <v>0</v>
      </c>
      <c r="J1031" s="191">
        <v>0</v>
      </c>
      <c r="K1031" s="193">
        <v>80000</v>
      </c>
      <c r="L1031" s="191">
        <v>0</v>
      </c>
      <c r="M1031" s="191">
        <v>0</v>
      </c>
      <c r="N1031" s="191">
        <v>0</v>
      </c>
      <c r="O1031" s="191">
        <v>0</v>
      </c>
      <c r="P1031" s="191">
        <v>0</v>
      </c>
    </row>
    <row r="1032" spans="1:16" x14ac:dyDescent="0.25">
      <c r="A1032" s="190">
        <v>801010402</v>
      </c>
      <c r="B1032" s="190" t="s">
        <v>434</v>
      </c>
      <c r="C1032" s="190">
        <v>3512</v>
      </c>
      <c r="D1032" s="190" t="s">
        <v>408</v>
      </c>
      <c r="E1032" s="191">
        <v>0</v>
      </c>
      <c r="F1032" s="191">
        <v>0</v>
      </c>
      <c r="G1032" s="191">
        <v>0</v>
      </c>
      <c r="H1032" s="191">
        <v>0</v>
      </c>
      <c r="I1032" s="191">
        <v>0</v>
      </c>
      <c r="J1032" s="191">
        <v>0</v>
      </c>
      <c r="K1032" s="193">
        <v>99691.09</v>
      </c>
      <c r="L1032" s="193">
        <v>5000</v>
      </c>
      <c r="M1032" s="191">
        <v>0</v>
      </c>
      <c r="N1032" s="191">
        <v>0</v>
      </c>
      <c r="O1032" s="191">
        <v>0</v>
      </c>
      <c r="P1032" s="191">
        <v>0</v>
      </c>
    </row>
    <row r="1033" spans="1:16" x14ac:dyDescent="0.25">
      <c r="A1033" s="190">
        <v>801010402</v>
      </c>
      <c r="B1033" s="190" t="s">
        <v>407</v>
      </c>
      <c r="C1033" s="190">
        <v>3521</v>
      </c>
      <c r="D1033" s="190" t="s">
        <v>408</v>
      </c>
      <c r="E1033" s="191">
        <v>0</v>
      </c>
      <c r="F1033" s="191">
        <v>0</v>
      </c>
      <c r="G1033" s="191">
        <v>0</v>
      </c>
      <c r="H1033" s="191">
        <v>0</v>
      </c>
      <c r="I1033" s="191">
        <v>0</v>
      </c>
      <c r="J1033" s="191">
        <v>0</v>
      </c>
      <c r="K1033" s="191">
        <v>0</v>
      </c>
      <c r="L1033" s="193">
        <v>19256</v>
      </c>
      <c r="M1033" s="193">
        <v>2552</v>
      </c>
      <c r="N1033" s="191">
        <v>0</v>
      </c>
      <c r="O1033" s="191">
        <v>0</v>
      </c>
      <c r="P1033" s="191">
        <v>0</v>
      </c>
    </row>
    <row r="1034" spans="1:16" x14ac:dyDescent="0.25">
      <c r="A1034" s="190">
        <v>801010402</v>
      </c>
      <c r="B1034" s="190" t="s">
        <v>410</v>
      </c>
      <c r="C1034" s="190">
        <v>3521</v>
      </c>
      <c r="D1034" s="190" t="s">
        <v>408</v>
      </c>
      <c r="E1034" s="191">
        <v>0</v>
      </c>
      <c r="F1034" s="191">
        <v>0</v>
      </c>
      <c r="G1034" s="191">
        <v>0</v>
      </c>
      <c r="H1034" s="191">
        <v>0</v>
      </c>
      <c r="I1034" s="191">
        <v>0</v>
      </c>
      <c r="J1034" s="191">
        <v>0</v>
      </c>
      <c r="K1034" s="191">
        <v>0</v>
      </c>
      <c r="L1034" s="193">
        <v>11071.04</v>
      </c>
      <c r="M1034" s="191">
        <v>0</v>
      </c>
      <c r="N1034" s="191">
        <v>0</v>
      </c>
      <c r="O1034" s="191">
        <v>0</v>
      </c>
      <c r="P1034" s="191">
        <v>0</v>
      </c>
    </row>
    <row r="1035" spans="1:16" x14ac:dyDescent="0.25">
      <c r="A1035" s="190">
        <v>801010402</v>
      </c>
      <c r="B1035" s="190" t="s">
        <v>414</v>
      </c>
      <c r="C1035" s="190">
        <v>3521</v>
      </c>
      <c r="D1035" s="190" t="s">
        <v>408</v>
      </c>
      <c r="E1035" s="191">
        <v>0</v>
      </c>
      <c r="F1035" s="191">
        <v>0</v>
      </c>
      <c r="G1035" s="191">
        <v>0</v>
      </c>
      <c r="H1035" s="191">
        <v>0</v>
      </c>
      <c r="I1035" s="191">
        <v>0</v>
      </c>
      <c r="J1035" s="191">
        <v>0</v>
      </c>
      <c r="K1035" s="191">
        <v>0</v>
      </c>
      <c r="L1035" s="193">
        <v>10607.04</v>
      </c>
      <c r="M1035" s="191">
        <v>0</v>
      </c>
      <c r="N1035" s="191">
        <v>0</v>
      </c>
      <c r="O1035" s="191">
        <v>0</v>
      </c>
      <c r="P1035" s="191">
        <v>0</v>
      </c>
    </row>
    <row r="1036" spans="1:16" x14ac:dyDescent="0.25">
      <c r="A1036" s="190">
        <v>801010402</v>
      </c>
      <c r="B1036" s="190" t="s">
        <v>416</v>
      </c>
      <c r="C1036" s="190">
        <v>3521</v>
      </c>
      <c r="D1036" s="190" t="s">
        <v>408</v>
      </c>
      <c r="E1036" s="191">
        <v>0</v>
      </c>
      <c r="F1036" s="191">
        <v>0</v>
      </c>
      <c r="G1036" s="191">
        <v>0</v>
      </c>
      <c r="H1036" s="191">
        <v>0</v>
      </c>
      <c r="I1036" s="191">
        <v>0</v>
      </c>
      <c r="J1036" s="191">
        <v>0</v>
      </c>
      <c r="K1036" s="191">
        <v>0</v>
      </c>
      <c r="L1036" s="193">
        <v>3364</v>
      </c>
      <c r="M1036" s="191">
        <v>0</v>
      </c>
      <c r="N1036" s="191">
        <v>0</v>
      </c>
      <c r="O1036" s="191">
        <v>0</v>
      </c>
      <c r="P1036" s="191">
        <v>0</v>
      </c>
    </row>
    <row r="1037" spans="1:16" x14ac:dyDescent="0.25">
      <c r="A1037" s="190">
        <v>801010402</v>
      </c>
      <c r="B1037" s="190" t="s">
        <v>424</v>
      </c>
      <c r="C1037" s="190">
        <v>3521</v>
      </c>
      <c r="D1037" s="190" t="s">
        <v>408</v>
      </c>
      <c r="E1037" s="191">
        <v>0</v>
      </c>
      <c r="F1037" s="191">
        <v>0</v>
      </c>
      <c r="G1037" s="191">
        <v>0</v>
      </c>
      <c r="H1037" s="191">
        <v>0</v>
      </c>
      <c r="I1037" s="191">
        <v>0</v>
      </c>
      <c r="J1037" s="191">
        <v>0</v>
      </c>
      <c r="K1037" s="191">
        <v>0</v>
      </c>
      <c r="L1037" s="193">
        <v>5303.52</v>
      </c>
      <c r="M1037" s="191">
        <v>0</v>
      </c>
      <c r="N1037" s="191">
        <v>0</v>
      </c>
      <c r="O1037" s="191">
        <v>0</v>
      </c>
      <c r="P1037" s="191">
        <v>0</v>
      </c>
    </row>
    <row r="1038" spans="1:16" x14ac:dyDescent="0.25">
      <c r="A1038" s="190">
        <v>801010402</v>
      </c>
      <c r="B1038" s="190" t="s">
        <v>430</v>
      </c>
      <c r="C1038" s="190">
        <v>3521</v>
      </c>
      <c r="D1038" s="190" t="s">
        <v>408</v>
      </c>
      <c r="E1038" s="191">
        <v>0</v>
      </c>
      <c r="F1038" s="191">
        <v>0</v>
      </c>
      <c r="G1038" s="191">
        <v>0</v>
      </c>
      <c r="H1038" s="191">
        <v>0</v>
      </c>
      <c r="I1038" s="191">
        <v>0</v>
      </c>
      <c r="J1038" s="191">
        <v>0</v>
      </c>
      <c r="K1038" s="191">
        <v>0</v>
      </c>
      <c r="L1038" s="193">
        <v>8651.2800000000007</v>
      </c>
      <c r="M1038" s="191">
        <v>0</v>
      </c>
      <c r="N1038" s="191">
        <v>0</v>
      </c>
      <c r="O1038" s="191">
        <v>0</v>
      </c>
      <c r="P1038" s="191">
        <v>0</v>
      </c>
    </row>
    <row r="1039" spans="1:16" x14ac:dyDescent="0.25">
      <c r="A1039" s="190">
        <v>801010402</v>
      </c>
      <c r="B1039" s="190" t="s">
        <v>434</v>
      </c>
      <c r="C1039" s="190">
        <v>3521</v>
      </c>
      <c r="D1039" s="190" t="s">
        <v>408</v>
      </c>
      <c r="E1039" s="191">
        <v>0</v>
      </c>
      <c r="F1039" s="191">
        <v>0</v>
      </c>
      <c r="G1039" s="191">
        <v>0</v>
      </c>
      <c r="H1039" s="191">
        <v>0</v>
      </c>
      <c r="I1039" s="191">
        <v>0</v>
      </c>
      <c r="J1039" s="191">
        <v>0</v>
      </c>
      <c r="K1039" s="191">
        <v>0</v>
      </c>
      <c r="L1039" s="193">
        <v>5303.52</v>
      </c>
      <c r="M1039" s="191">
        <v>0</v>
      </c>
      <c r="N1039" s="191">
        <v>0</v>
      </c>
      <c r="O1039" s="191">
        <v>0</v>
      </c>
      <c r="P1039" s="191">
        <v>0</v>
      </c>
    </row>
    <row r="1040" spans="1:16" x14ac:dyDescent="0.25">
      <c r="A1040" s="190">
        <v>801010402</v>
      </c>
      <c r="B1040" s="190" t="s">
        <v>435</v>
      </c>
      <c r="C1040" s="190">
        <v>3521</v>
      </c>
      <c r="D1040" s="190" t="s">
        <v>408</v>
      </c>
      <c r="E1040" s="191">
        <v>0</v>
      </c>
      <c r="F1040" s="191">
        <v>0</v>
      </c>
      <c r="G1040" s="191">
        <v>0</v>
      </c>
      <c r="H1040" s="191">
        <v>0</v>
      </c>
      <c r="I1040" s="191">
        <v>0</v>
      </c>
      <c r="J1040" s="191">
        <v>0</v>
      </c>
      <c r="K1040" s="191">
        <v>0</v>
      </c>
      <c r="L1040" s="193">
        <v>5999.58</v>
      </c>
      <c r="M1040" s="191">
        <v>0</v>
      </c>
      <c r="N1040" s="191">
        <v>0</v>
      </c>
      <c r="O1040" s="191">
        <v>0</v>
      </c>
      <c r="P1040" s="191">
        <v>0</v>
      </c>
    </row>
    <row r="1041" spans="1:16" x14ac:dyDescent="0.25">
      <c r="A1041" s="190">
        <v>801010402</v>
      </c>
      <c r="B1041" s="190" t="s">
        <v>407</v>
      </c>
      <c r="C1041" s="190">
        <v>3531</v>
      </c>
      <c r="D1041" s="190" t="s">
        <v>408</v>
      </c>
      <c r="E1041" s="191">
        <v>0</v>
      </c>
      <c r="F1041" s="191">
        <v>0</v>
      </c>
      <c r="G1041" s="193">
        <v>3097.2</v>
      </c>
      <c r="H1041" s="193">
        <v>4721.2</v>
      </c>
      <c r="I1041" s="191">
        <v>719.2</v>
      </c>
      <c r="J1041" s="191">
        <v>0</v>
      </c>
      <c r="K1041" s="191">
        <v>0</v>
      </c>
      <c r="L1041" s="193">
        <v>1392</v>
      </c>
      <c r="M1041" s="191">
        <v>0</v>
      </c>
      <c r="N1041" s="191">
        <v>0</v>
      </c>
      <c r="O1041" s="191">
        <v>0</v>
      </c>
      <c r="P1041" s="191">
        <v>0</v>
      </c>
    </row>
    <row r="1042" spans="1:16" x14ac:dyDescent="0.25">
      <c r="A1042" s="190">
        <v>801010402</v>
      </c>
      <c r="B1042" s="190" t="s">
        <v>414</v>
      </c>
      <c r="C1042" s="190">
        <v>3531</v>
      </c>
      <c r="D1042" s="190" t="s">
        <v>408</v>
      </c>
      <c r="E1042" s="191">
        <v>0</v>
      </c>
      <c r="F1042" s="191">
        <v>0</v>
      </c>
      <c r="G1042" s="191">
        <v>0</v>
      </c>
      <c r="H1042" s="191">
        <v>0</v>
      </c>
      <c r="I1042" s="191">
        <v>846.8</v>
      </c>
      <c r="J1042" s="191">
        <v>0</v>
      </c>
      <c r="K1042" s="191">
        <v>0</v>
      </c>
      <c r="L1042" s="191">
        <v>0</v>
      </c>
      <c r="M1042" s="191">
        <v>0</v>
      </c>
      <c r="N1042" s="191">
        <v>0</v>
      </c>
      <c r="O1042" s="191">
        <v>0</v>
      </c>
      <c r="P1042" s="191">
        <v>0</v>
      </c>
    </row>
    <row r="1043" spans="1:16" x14ac:dyDescent="0.25">
      <c r="A1043" s="190">
        <v>801010402</v>
      </c>
      <c r="B1043" s="190" t="s">
        <v>430</v>
      </c>
      <c r="C1043" s="190">
        <v>3531</v>
      </c>
      <c r="D1043" s="190" t="s">
        <v>408</v>
      </c>
      <c r="E1043" s="191">
        <v>0</v>
      </c>
      <c r="F1043" s="191">
        <v>0</v>
      </c>
      <c r="G1043" s="191">
        <v>0</v>
      </c>
      <c r="H1043" s="193">
        <v>2555.58</v>
      </c>
      <c r="I1043" s="191">
        <v>0</v>
      </c>
      <c r="J1043" s="191">
        <v>0</v>
      </c>
      <c r="K1043" s="191">
        <v>0</v>
      </c>
      <c r="L1043" s="191">
        <v>0</v>
      </c>
      <c r="M1043" s="191">
        <v>0</v>
      </c>
      <c r="N1043" s="191">
        <v>0</v>
      </c>
      <c r="O1043" s="191">
        <v>0</v>
      </c>
      <c r="P1043" s="191">
        <v>0</v>
      </c>
    </row>
    <row r="1044" spans="1:16" x14ac:dyDescent="0.25">
      <c r="A1044" s="190">
        <v>801010402</v>
      </c>
      <c r="B1044" s="190" t="s">
        <v>407</v>
      </c>
      <c r="C1044" s="190">
        <v>3551</v>
      </c>
      <c r="D1044" s="190" t="s">
        <v>409</v>
      </c>
      <c r="E1044" s="191">
        <v>0</v>
      </c>
      <c r="F1044" s="191">
        <v>0</v>
      </c>
      <c r="G1044" s="191">
        <v>0</v>
      </c>
      <c r="H1044" s="191">
        <v>0</v>
      </c>
      <c r="I1044" s="191">
        <v>0</v>
      </c>
      <c r="J1044" s="191">
        <v>0</v>
      </c>
      <c r="K1044" s="191">
        <v>0</v>
      </c>
      <c r="L1044" s="191">
        <v>930</v>
      </c>
      <c r="M1044" s="193">
        <v>3484.26</v>
      </c>
      <c r="N1044" s="191">
        <v>0</v>
      </c>
      <c r="O1044" s="191">
        <v>0</v>
      </c>
      <c r="P1044" s="191">
        <v>0</v>
      </c>
    </row>
    <row r="1045" spans="1:16" x14ac:dyDescent="0.25">
      <c r="A1045" s="190">
        <v>801010402</v>
      </c>
      <c r="B1045" s="190" t="s">
        <v>407</v>
      </c>
      <c r="C1045" s="190">
        <v>3551</v>
      </c>
      <c r="D1045" s="190" t="s">
        <v>408</v>
      </c>
      <c r="E1045" s="193">
        <v>8316</v>
      </c>
      <c r="F1045" s="191">
        <v>0</v>
      </c>
      <c r="G1045" s="193">
        <v>2828.94</v>
      </c>
      <c r="H1045" s="193">
        <v>2873.61</v>
      </c>
      <c r="I1045" s="193">
        <v>5702.42</v>
      </c>
      <c r="J1045" s="193">
        <v>7847.69</v>
      </c>
      <c r="K1045" s="191">
        <v>891.47</v>
      </c>
      <c r="L1045" s="193">
        <v>28453.200000000001</v>
      </c>
      <c r="M1045" s="193">
        <v>5355.32</v>
      </c>
      <c r="N1045" s="193">
        <v>8728.4699999999993</v>
      </c>
      <c r="O1045" s="193">
        <v>7113.2</v>
      </c>
      <c r="P1045" s="191">
        <v>962.33</v>
      </c>
    </row>
    <row r="1046" spans="1:16" x14ac:dyDescent="0.25">
      <c r="A1046" s="190">
        <v>801010402</v>
      </c>
      <c r="B1046" s="190" t="s">
        <v>410</v>
      </c>
      <c r="C1046" s="190">
        <v>3551</v>
      </c>
      <c r="D1046" s="190" t="s">
        <v>408</v>
      </c>
      <c r="E1046" s="193">
        <v>1781</v>
      </c>
      <c r="F1046" s="191">
        <v>0</v>
      </c>
      <c r="G1046" s="191">
        <v>0</v>
      </c>
      <c r="H1046" s="191">
        <v>862</v>
      </c>
      <c r="I1046" s="191">
        <v>0</v>
      </c>
      <c r="J1046" s="193">
        <v>1325</v>
      </c>
      <c r="K1046" s="191">
        <v>0</v>
      </c>
      <c r="L1046" s="191">
        <v>612</v>
      </c>
      <c r="M1046" s="191">
        <v>0</v>
      </c>
      <c r="N1046" s="193">
        <v>3413</v>
      </c>
      <c r="O1046" s="191">
        <v>0</v>
      </c>
      <c r="P1046" s="193">
        <v>1000</v>
      </c>
    </row>
    <row r="1047" spans="1:16" x14ac:dyDescent="0.25">
      <c r="A1047" s="190">
        <v>801010402</v>
      </c>
      <c r="B1047" s="190" t="s">
        <v>411</v>
      </c>
      <c r="C1047" s="190">
        <v>3551</v>
      </c>
      <c r="D1047" s="190" t="s">
        <v>408</v>
      </c>
      <c r="E1047" s="191">
        <v>0</v>
      </c>
      <c r="F1047" s="191">
        <v>0</v>
      </c>
      <c r="G1047" s="191">
        <v>0</v>
      </c>
      <c r="H1047" s="193">
        <v>1133</v>
      </c>
      <c r="I1047" s="191">
        <v>0</v>
      </c>
      <c r="J1047" s="191">
        <v>0</v>
      </c>
      <c r="K1047" s="191">
        <v>0</v>
      </c>
      <c r="L1047" s="193">
        <v>3100</v>
      </c>
      <c r="M1047" s="191">
        <v>0</v>
      </c>
      <c r="N1047" s="191">
        <v>0</v>
      </c>
      <c r="O1047" s="191">
        <v>977</v>
      </c>
      <c r="P1047" s="191">
        <v>0</v>
      </c>
    </row>
    <row r="1048" spans="1:16" x14ac:dyDescent="0.25">
      <c r="A1048" s="190">
        <v>801010402</v>
      </c>
      <c r="B1048" s="190" t="s">
        <v>412</v>
      </c>
      <c r="C1048" s="190">
        <v>3551</v>
      </c>
      <c r="D1048" s="190" t="s">
        <v>408</v>
      </c>
      <c r="E1048" s="191">
        <v>0</v>
      </c>
      <c r="F1048" s="191">
        <v>0</v>
      </c>
      <c r="G1048" s="191">
        <v>0</v>
      </c>
      <c r="H1048" s="191">
        <v>0</v>
      </c>
      <c r="I1048" s="191">
        <v>0</v>
      </c>
      <c r="J1048" s="193">
        <v>2539.11</v>
      </c>
      <c r="K1048" s="191">
        <v>0</v>
      </c>
      <c r="L1048" s="191">
        <v>0</v>
      </c>
      <c r="M1048" s="191">
        <v>0</v>
      </c>
      <c r="N1048" s="191">
        <v>0</v>
      </c>
      <c r="O1048" s="193">
        <v>3466</v>
      </c>
      <c r="P1048" s="191">
        <v>0</v>
      </c>
    </row>
    <row r="1049" spans="1:16" x14ac:dyDescent="0.25">
      <c r="A1049" s="190">
        <v>801010402</v>
      </c>
      <c r="B1049" s="190" t="s">
        <v>413</v>
      </c>
      <c r="C1049" s="190">
        <v>3551</v>
      </c>
      <c r="D1049" s="190" t="s">
        <v>408</v>
      </c>
      <c r="E1049" s="191">
        <v>0</v>
      </c>
      <c r="F1049" s="191">
        <v>0</v>
      </c>
      <c r="G1049" s="191">
        <v>0</v>
      </c>
      <c r="H1049" s="193">
        <v>3122</v>
      </c>
      <c r="I1049" s="191">
        <v>0</v>
      </c>
      <c r="J1049" s="191">
        <v>0</v>
      </c>
      <c r="K1049" s="191">
        <v>0</v>
      </c>
      <c r="L1049" s="191">
        <v>0</v>
      </c>
      <c r="M1049" s="191">
        <v>0</v>
      </c>
      <c r="N1049" s="193">
        <v>6016.12</v>
      </c>
      <c r="O1049" s="191">
        <v>0</v>
      </c>
      <c r="P1049" s="191">
        <v>0</v>
      </c>
    </row>
    <row r="1050" spans="1:16" x14ac:dyDescent="0.25">
      <c r="A1050" s="190">
        <v>801010402</v>
      </c>
      <c r="B1050" s="190" t="s">
        <v>414</v>
      </c>
      <c r="C1050" s="190">
        <v>3551</v>
      </c>
      <c r="D1050" s="190" t="s">
        <v>408</v>
      </c>
      <c r="E1050" s="191">
        <v>0</v>
      </c>
      <c r="F1050" s="191">
        <v>0</v>
      </c>
      <c r="G1050" s="191">
        <v>0</v>
      </c>
      <c r="H1050" s="191">
        <v>0</v>
      </c>
      <c r="I1050" s="191">
        <v>0</v>
      </c>
      <c r="J1050" s="193">
        <v>1935</v>
      </c>
      <c r="K1050" s="191">
        <v>0</v>
      </c>
      <c r="L1050" s="193">
        <v>2473</v>
      </c>
      <c r="M1050" s="191">
        <v>0</v>
      </c>
      <c r="N1050" s="191">
        <v>0</v>
      </c>
      <c r="O1050" s="193">
        <v>2568.44</v>
      </c>
      <c r="P1050" s="191">
        <v>0</v>
      </c>
    </row>
    <row r="1051" spans="1:16" x14ac:dyDescent="0.25">
      <c r="A1051" s="190">
        <v>801010402</v>
      </c>
      <c r="B1051" s="190" t="s">
        <v>415</v>
      </c>
      <c r="C1051" s="190">
        <v>3551</v>
      </c>
      <c r="D1051" s="190" t="s">
        <v>408</v>
      </c>
      <c r="E1051" s="191">
        <v>0</v>
      </c>
      <c r="F1051" s="191">
        <v>0</v>
      </c>
      <c r="G1051" s="191">
        <v>0</v>
      </c>
      <c r="H1051" s="193">
        <v>1042.4000000000001</v>
      </c>
      <c r="I1051" s="191">
        <v>0</v>
      </c>
      <c r="J1051" s="191">
        <v>0</v>
      </c>
      <c r="K1051" s="191">
        <v>0</v>
      </c>
      <c r="L1051" s="193">
        <v>4707.49</v>
      </c>
      <c r="M1051" s="191">
        <v>990</v>
      </c>
      <c r="N1051" s="191">
        <v>0</v>
      </c>
      <c r="O1051" s="193">
        <v>3174</v>
      </c>
      <c r="P1051" s="191">
        <v>0</v>
      </c>
    </row>
    <row r="1052" spans="1:16" x14ac:dyDescent="0.25">
      <c r="A1052" s="190">
        <v>801010402</v>
      </c>
      <c r="B1052" s="190" t="s">
        <v>416</v>
      </c>
      <c r="C1052" s="190">
        <v>3551</v>
      </c>
      <c r="D1052" s="190" t="s">
        <v>408</v>
      </c>
      <c r="E1052" s="193">
        <v>3691.36</v>
      </c>
      <c r="F1052" s="191">
        <v>0</v>
      </c>
      <c r="G1052" s="191">
        <v>0</v>
      </c>
      <c r="H1052" s="191">
        <v>0</v>
      </c>
      <c r="I1052" s="191">
        <v>0</v>
      </c>
      <c r="J1052" s="193">
        <v>5650</v>
      </c>
      <c r="K1052" s="191">
        <v>0</v>
      </c>
      <c r="L1052" s="191">
        <v>0</v>
      </c>
      <c r="M1052" s="193">
        <v>4652.99</v>
      </c>
      <c r="N1052" s="191">
        <v>0</v>
      </c>
      <c r="O1052" s="191">
        <v>0</v>
      </c>
      <c r="P1052" s="191">
        <v>0</v>
      </c>
    </row>
    <row r="1053" spans="1:16" x14ac:dyDescent="0.25">
      <c r="A1053" s="190">
        <v>801010402</v>
      </c>
      <c r="B1053" s="190" t="s">
        <v>417</v>
      </c>
      <c r="C1053" s="190">
        <v>3551</v>
      </c>
      <c r="D1053" s="190" t="s">
        <v>408</v>
      </c>
      <c r="E1053" s="191">
        <v>0</v>
      </c>
      <c r="F1053" s="191">
        <v>0</v>
      </c>
      <c r="G1053" s="191">
        <v>0</v>
      </c>
      <c r="H1053" s="193">
        <v>2685.92</v>
      </c>
      <c r="I1053" s="191">
        <v>0</v>
      </c>
      <c r="J1053" s="191">
        <v>0</v>
      </c>
      <c r="K1053" s="191">
        <v>0</v>
      </c>
      <c r="L1053" s="191">
        <v>0</v>
      </c>
      <c r="M1053" s="193">
        <v>5658.94</v>
      </c>
      <c r="N1053" s="191">
        <v>0</v>
      </c>
      <c r="O1053" s="191">
        <v>0</v>
      </c>
      <c r="P1053" s="191">
        <v>0</v>
      </c>
    </row>
    <row r="1054" spans="1:16" x14ac:dyDescent="0.25">
      <c r="A1054" s="190">
        <v>801010402</v>
      </c>
      <c r="B1054" s="190" t="s">
        <v>419</v>
      </c>
      <c r="C1054" s="190">
        <v>3551</v>
      </c>
      <c r="D1054" s="190" t="s">
        <v>408</v>
      </c>
      <c r="E1054" s="191">
        <v>0</v>
      </c>
      <c r="F1054" s="191">
        <v>0</v>
      </c>
      <c r="G1054" s="191">
        <v>0</v>
      </c>
      <c r="H1054" s="193">
        <v>3972</v>
      </c>
      <c r="I1054" s="191">
        <v>0</v>
      </c>
      <c r="J1054" s="191">
        <v>0</v>
      </c>
      <c r="K1054" s="191">
        <v>0</v>
      </c>
      <c r="L1054" s="191">
        <v>0</v>
      </c>
      <c r="M1054" s="193">
        <v>1367.98</v>
      </c>
      <c r="N1054" s="191">
        <v>0</v>
      </c>
      <c r="O1054" s="191">
        <v>0</v>
      </c>
      <c r="P1054" s="193">
        <v>1825</v>
      </c>
    </row>
    <row r="1055" spans="1:16" x14ac:dyDescent="0.25">
      <c r="A1055" s="190">
        <v>801010402</v>
      </c>
      <c r="B1055" s="190" t="s">
        <v>420</v>
      </c>
      <c r="C1055" s="190">
        <v>3551</v>
      </c>
      <c r="D1055" s="190" t="s">
        <v>408</v>
      </c>
      <c r="E1055" s="191">
        <v>0</v>
      </c>
      <c r="F1055" s="191">
        <v>0</v>
      </c>
      <c r="G1055" s="191">
        <v>0</v>
      </c>
      <c r="H1055" s="193">
        <v>1043</v>
      </c>
      <c r="I1055" s="191">
        <v>0</v>
      </c>
      <c r="J1055" s="191">
        <v>0</v>
      </c>
      <c r="K1055" s="191">
        <v>0</v>
      </c>
      <c r="L1055" s="193">
        <v>2226</v>
      </c>
      <c r="M1055" s="191">
        <v>0</v>
      </c>
      <c r="N1055" s="191">
        <v>0</v>
      </c>
      <c r="O1055" s="191">
        <v>0</v>
      </c>
      <c r="P1055" s="191">
        <v>0</v>
      </c>
    </row>
    <row r="1056" spans="1:16" x14ac:dyDescent="0.25">
      <c r="A1056" s="190">
        <v>801010402</v>
      </c>
      <c r="B1056" s="190" t="s">
        <v>421</v>
      </c>
      <c r="C1056" s="190">
        <v>3551</v>
      </c>
      <c r="D1056" s="190" t="s">
        <v>408</v>
      </c>
      <c r="E1056" s="191">
        <v>0</v>
      </c>
      <c r="F1056" s="191">
        <v>0</v>
      </c>
      <c r="G1056" s="193">
        <v>1798</v>
      </c>
      <c r="H1056" s="191">
        <v>0</v>
      </c>
      <c r="I1056" s="191">
        <v>0</v>
      </c>
      <c r="J1056" s="191">
        <v>0</v>
      </c>
      <c r="K1056" s="191">
        <v>0</v>
      </c>
      <c r="L1056" s="191">
        <v>0</v>
      </c>
      <c r="M1056" s="191">
        <v>0</v>
      </c>
      <c r="N1056" s="191">
        <v>0</v>
      </c>
      <c r="O1056" s="191">
        <v>0</v>
      </c>
      <c r="P1056" s="191">
        <v>0</v>
      </c>
    </row>
    <row r="1057" spans="1:16" x14ac:dyDescent="0.25">
      <c r="A1057" s="190">
        <v>801010402</v>
      </c>
      <c r="B1057" s="190" t="s">
        <v>422</v>
      </c>
      <c r="C1057" s="190">
        <v>3551</v>
      </c>
      <c r="D1057" s="190" t="s">
        <v>408</v>
      </c>
      <c r="E1057" s="191">
        <v>0</v>
      </c>
      <c r="F1057" s="191">
        <v>0</v>
      </c>
      <c r="G1057" s="191">
        <v>0</v>
      </c>
      <c r="H1057" s="193">
        <v>2549.9899999999998</v>
      </c>
      <c r="I1057" s="191">
        <v>0</v>
      </c>
      <c r="J1057" s="193">
        <v>2500</v>
      </c>
      <c r="K1057" s="191">
        <v>0</v>
      </c>
      <c r="L1057" s="191">
        <v>0</v>
      </c>
      <c r="M1057" s="191">
        <v>0</v>
      </c>
      <c r="N1057" s="191">
        <v>0</v>
      </c>
      <c r="O1057" s="193">
        <v>7180.42</v>
      </c>
      <c r="P1057" s="191">
        <v>0</v>
      </c>
    </row>
    <row r="1058" spans="1:16" x14ac:dyDescent="0.25">
      <c r="A1058" s="190">
        <v>801010402</v>
      </c>
      <c r="B1058" s="190" t="s">
        <v>423</v>
      </c>
      <c r="C1058" s="190">
        <v>3551</v>
      </c>
      <c r="D1058" s="190" t="s">
        <v>408</v>
      </c>
      <c r="E1058" s="191">
        <v>0</v>
      </c>
      <c r="F1058" s="191">
        <v>735.6</v>
      </c>
      <c r="G1058" s="191">
        <v>0</v>
      </c>
      <c r="H1058" s="191">
        <v>0</v>
      </c>
      <c r="I1058" s="191">
        <v>0</v>
      </c>
      <c r="J1058" s="191">
        <v>0</v>
      </c>
      <c r="K1058" s="191">
        <v>0</v>
      </c>
      <c r="L1058" s="193">
        <v>5220.0200000000004</v>
      </c>
      <c r="M1058" s="191">
        <v>0</v>
      </c>
      <c r="N1058" s="191">
        <v>0</v>
      </c>
      <c r="O1058" s="191">
        <v>0</v>
      </c>
      <c r="P1058" s="191">
        <v>0</v>
      </c>
    </row>
    <row r="1059" spans="1:16" x14ac:dyDescent="0.25">
      <c r="A1059" s="190">
        <v>801010402</v>
      </c>
      <c r="B1059" s="190" t="s">
        <v>424</v>
      </c>
      <c r="C1059" s="190">
        <v>3551</v>
      </c>
      <c r="D1059" s="190" t="s">
        <v>408</v>
      </c>
      <c r="E1059" s="191">
        <v>0</v>
      </c>
      <c r="F1059" s="191">
        <v>0</v>
      </c>
      <c r="G1059" s="191">
        <v>0</v>
      </c>
      <c r="H1059" s="191">
        <v>0</v>
      </c>
      <c r="I1059" s="191">
        <v>0</v>
      </c>
      <c r="J1059" s="193">
        <v>1750.37</v>
      </c>
      <c r="K1059" s="191">
        <v>0</v>
      </c>
      <c r="L1059" s="191">
        <v>0</v>
      </c>
      <c r="M1059" s="191">
        <v>0</v>
      </c>
      <c r="N1059" s="191">
        <v>0</v>
      </c>
      <c r="O1059" s="191">
        <v>0</v>
      </c>
      <c r="P1059" s="191">
        <v>0</v>
      </c>
    </row>
    <row r="1060" spans="1:16" x14ac:dyDescent="0.25">
      <c r="A1060" s="190">
        <v>801010402</v>
      </c>
      <c r="B1060" s="190" t="s">
        <v>425</v>
      </c>
      <c r="C1060" s="190">
        <v>3551</v>
      </c>
      <c r="D1060" s="190" t="s">
        <v>408</v>
      </c>
      <c r="E1060" s="191">
        <v>0</v>
      </c>
      <c r="F1060" s="191">
        <v>0</v>
      </c>
      <c r="G1060" s="191">
        <v>0</v>
      </c>
      <c r="H1060" s="193">
        <v>4534.6400000000003</v>
      </c>
      <c r="I1060" s="191">
        <v>0</v>
      </c>
      <c r="J1060" s="193">
        <v>1512.47</v>
      </c>
      <c r="K1060" s="191">
        <v>0</v>
      </c>
      <c r="L1060" s="193">
        <v>4707.49</v>
      </c>
      <c r="M1060" s="191">
        <v>0</v>
      </c>
      <c r="N1060" s="191">
        <v>0</v>
      </c>
      <c r="O1060" s="193">
        <v>3337</v>
      </c>
      <c r="P1060" s="191">
        <v>0</v>
      </c>
    </row>
    <row r="1061" spans="1:16" x14ac:dyDescent="0.25">
      <c r="A1061" s="190">
        <v>801010402</v>
      </c>
      <c r="B1061" s="190" t="s">
        <v>426</v>
      </c>
      <c r="C1061" s="190">
        <v>3551</v>
      </c>
      <c r="D1061" s="190" t="s">
        <v>408</v>
      </c>
      <c r="E1061" s="193">
        <v>7277.03</v>
      </c>
      <c r="F1061" s="191">
        <v>0</v>
      </c>
      <c r="G1061" s="191">
        <v>0</v>
      </c>
      <c r="H1061" s="191">
        <v>0</v>
      </c>
      <c r="I1061" s="191">
        <v>0</v>
      </c>
      <c r="J1061" s="193">
        <v>4458</v>
      </c>
      <c r="K1061" s="191">
        <v>0</v>
      </c>
      <c r="L1061" s="191">
        <v>0</v>
      </c>
      <c r="M1061" s="191">
        <v>0</v>
      </c>
      <c r="N1061" s="191">
        <v>0</v>
      </c>
      <c r="O1061" s="191">
        <v>0</v>
      </c>
      <c r="P1061" s="191">
        <v>0</v>
      </c>
    </row>
    <row r="1062" spans="1:16" x14ac:dyDescent="0.25">
      <c r="A1062" s="190">
        <v>801010402</v>
      </c>
      <c r="B1062" s="190" t="s">
        <v>427</v>
      </c>
      <c r="C1062" s="190">
        <v>3551</v>
      </c>
      <c r="D1062" s="190" t="s">
        <v>408</v>
      </c>
      <c r="E1062" s="191">
        <v>0</v>
      </c>
      <c r="F1062" s="191">
        <v>0</v>
      </c>
      <c r="G1062" s="191">
        <v>0</v>
      </c>
      <c r="H1062" s="191">
        <v>0</v>
      </c>
      <c r="I1062" s="191">
        <v>0</v>
      </c>
      <c r="J1062" s="193">
        <v>1107.3</v>
      </c>
      <c r="K1062" s="191">
        <v>0</v>
      </c>
      <c r="L1062" s="191">
        <v>0</v>
      </c>
      <c r="M1062" s="191">
        <v>0</v>
      </c>
      <c r="N1062" s="193">
        <v>1986.87</v>
      </c>
      <c r="O1062" s="191">
        <v>0</v>
      </c>
      <c r="P1062" s="191">
        <v>0</v>
      </c>
    </row>
    <row r="1063" spans="1:16" x14ac:dyDescent="0.25">
      <c r="A1063" s="190">
        <v>801010402</v>
      </c>
      <c r="B1063" s="190" t="s">
        <v>428</v>
      </c>
      <c r="C1063" s="190">
        <v>3551</v>
      </c>
      <c r="D1063" s="190" t="s">
        <v>408</v>
      </c>
      <c r="E1063" s="191">
        <v>0</v>
      </c>
      <c r="F1063" s="191">
        <v>0</v>
      </c>
      <c r="G1063" s="191">
        <v>0</v>
      </c>
      <c r="H1063" s="191">
        <v>0</v>
      </c>
      <c r="I1063" s="191">
        <v>0</v>
      </c>
      <c r="J1063" s="191">
        <v>0</v>
      </c>
      <c r="K1063" s="191">
        <v>0</v>
      </c>
      <c r="L1063" s="191">
        <v>0</v>
      </c>
      <c r="M1063" s="191">
        <v>0</v>
      </c>
      <c r="N1063" s="191">
        <v>0</v>
      </c>
      <c r="O1063" s="191">
        <v>0</v>
      </c>
      <c r="P1063" s="193">
        <v>3302.08</v>
      </c>
    </row>
    <row r="1064" spans="1:16" x14ac:dyDescent="0.25">
      <c r="A1064" s="190">
        <v>801010402</v>
      </c>
      <c r="B1064" s="190" t="s">
        <v>429</v>
      </c>
      <c r="C1064" s="190">
        <v>3551</v>
      </c>
      <c r="D1064" s="190" t="s">
        <v>408</v>
      </c>
      <c r="E1064" s="191">
        <v>0</v>
      </c>
      <c r="F1064" s="191">
        <v>730</v>
      </c>
      <c r="G1064" s="191">
        <v>0</v>
      </c>
      <c r="H1064" s="191">
        <v>0</v>
      </c>
      <c r="I1064" s="191">
        <v>0</v>
      </c>
      <c r="J1064" s="193">
        <v>3649.22</v>
      </c>
      <c r="K1064" s="191">
        <v>0</v>
      </c>
      <c r="L1064" s="191">
        <v>0</v>
      </c>
      <c r="M1064" s="193">
        <v>4945.51</v>
      </c>
      <c r="N1064" s="191">
        <v>0</v>
      </c>
      <c r="O1064" s="191">
        <v>0</v>
      </c>
      <c r="P1064" s="191">
        <v>0</v>
      </c>
    </row>
    <row r="1065" spans="1:16" x14ac:dyDescent="0.25">
      <c r="A1065" s="190">
        <v>801010402</v>
      </c>
      <c r="B1065" s="190" t="s">
        <v>430</v>
      </c>
      <c r="C1065" s="190">
        <v>3551</v>
      </c>
      <c r="D1065" s="190" t="s">
        <v>408</v>
      </c>
      <c r="E1065" s="191">
        <v>0</v>
      </c>
      <c r="F1065" s="191">
        <v>0</v>
      </c>
      <c r="G1065" s="191">
        <v>0</v>
      </c>
      <c r="H1065" s="193">
        <v>2152</v>
      </c>
      <c r="I1065" s="191">
        <v>0</v>
      </c>
      <c r="J1065" s="193">
        <v>1614</v>
      </c>
      <c r="K1065" s="191">
        <v>0</v>
      </c>
      <c r="L1065" s="193">
        <v>2006</v>
      </c>
      <c r="M1065" s="191">
        <v>0</v>
      </c>
      <c r="N1065" s="193">
        <v>2450</v>
      </c>
      <c r="O1065" s="191">
        <v>579.97</v>
      </c>
      <c r="P1065" s="191">
        <v>0</v>
      </c>
    </row>
    <row r="1066" spans="1:16" x14ac:dyDescent="0.25">
      <c r="A1066" s="190">
        <v>801010402</v>
      </c>
      <c r="B1066" s="190" t="s">
        <v>431</v>
      </c>
      <c r="C1066" s="190">
        <v>3551</v>
      </c>
      <c r="D1066" s="190" t="s">
        <v>408</v>
      </c>
      <c r="E1066" s="191">
        <v>0</v>
      </c>
      <c r="F1066" s="191">
        <v>0</v>
      </c>
      <c r="G1066" s="191">
        <v>0</v>
      </c>
      <c r="H1066" s="193">
        <v>2632.01</v>
      </c>
      <c r="I1066" s="191">
        <v>0</v>
      </c>
      <c r="J1066" s="191">
        <v>0</v>
      </c>
      <c r="K1066" s="193">
        <v>3112</v>
      </c>
      <c r="L1066" s="191">
        <v>0</v>
      </c>
      <c r="M1066" s="191">
        <v>0</v>
      </c>
      <c r="N1066" s="191">
        <v>0</v>
      </c>
      <c r="O1066" s="193">
        <v>3317.16</v>
      </c>
      <c r="P1066" s="191">
        <v>0</v>
      </c>
    </row>
    <row r="1067" spans="1:16" x14ac:dyDescent="0.25">
      <c r="A1067" s="190">
        <v>801010402</v>
      </c>
      <c r="B1067" s="190" t="s">
        <v>432</v>
      </c>
      <c r="C1067" s="190">
        <v>3551</v>
      </c>
      <c r="D1067" s="190" t="s">
        <v>408</v>
      </c>
      <c r="E1067" s="191">
        <v>0</v>
      </c>
      <c r="F1067" s="191">
        <v>0</v>
      </c>
      <c r="G1067" s="191">
        <v>0</v>
      </c>
      <c r="H1067" s="191">
        <v>0</v>
      </c>
      <c r="I1067" s="191">
        <v>0</v>
      </c>
      <c r="J1067" s="191">
        <v>0</v>
      </c>
      <c r="K1067" s="191">
        <v>0</v>
      </c>
      <c r="L1067" s="191">
        <v>0</v>
      </c>
      <c r="M1067" s="191">
        <v>0</v>
      </c>
      <c r="N1067" s="193">
        <v>4105.09</v>
      </c>
      <c r="O1067" s="193">
        <v>2225.12</v>
      </c>
      <c r="P1067" s="191">
        <v>0</v>
      </c>
    </row>
    <row r="1068" spans="1:16" x14ac:dyDescent="0.25">
      <c r="A1068" s="190">
        <v>801010402</v>
      </c>
      <c r="B1068" s="190" t="s">
        <v>433</v>
      </c>
      <c r="C1068" s="190">
        <v>3551</v>
      </c>
      <c r="D1068" s="190" t="s">
        <v>408</v>
      </c>
      <c r="E1068" s="191">
        <v>0</v>
      </c>
      <c r="F1068" s="193">
        <v>2620.37</v>
      </c>
      <c r="G1068" s="191">
        <v>0</v>
      </c>
      <c r="H1068" s="193">
        <v>1897.93</v>
      </c>
      <c r="I1068" s="191">
        <v>0</v>
      </c>
      <c r="J1068" s="193">
        <v>6727.21</v>
      </c>
      <c r="K1068" s="191">
        <v>0</v>
      </c>
      <c r="L1068" s="191">
        <v>0</v>
      </c>
      <c r="M1068" s="191">
        <v>0</v>
      </c>
      <c r="N1068" s="193">
        <v>3820.88</v>
      </c>
      <c r="O1068" s="191">
        <v>0</v>
      </c>
      <c r="P1068" s="191">
        <v>0</v>
      </c>
    </row>
    <row r="1069" spans="1:16" x14ac:dyDescent="0.25">
      <c r="A1069" s="190">
        <v>801010402</v>
      </c>
      <c r="B1069" s="190" t="s">
        <v>434</v>
      </c>
      <c r="C1069" s="190">
        <v>3551</v>
      </c>
      <c r="D1069" s="190" t="s">
        <v>408</v>
      </c>
      <c r="E1069" s="191">
        <v>0</v>
      </c>
      <c r="F1069" s="191">
        <v>0</v>
      </c>
      <c r="G1069" s="191">
        <v>0</v>
      </c>
      <c r="H1069" s="191">
        <v>0</v>
      </c>
      <c r="I1069" s="191">
        <v>0</v>
      </c>
      <c r="J1069" s="191">
        <v>0</v>
      </c>
      <c r="K1069" s="191">
        <v>0</v>
      </c>
      <c r="L1069" s="191">
        <v>0</v>
      </c>
      <c r="M1069" s="193">
        <v>1978</v>
      </c>
      <c r="N1069" s="191">
        <v>0</v>
      </c>
      <c r="O1069" s="191">
        <v>0</v>
      </c>
      <c r="P1069" s="191">
        <v>0</v>
      </c>
    </row>
    <row r="1070" spans="1:16" x14ac:dyDescent="0.25">
      <c r="A1070" s="190">
        <v>801010402</v>
      </c>
      <c r="B1070" s="190" t="s">
        <v>435</v>
      </c>
      <c r="C1070" s="190">
        <v>3551</v>
      </c>
      <c r="D1070" s="190" t="s">
        <v>408</v>
      </c>
      <c r="E1070" s="191">
        <v>0</v>
      </c>
      <c r="F1070" s="191">
        <v>0</v>
      </c>
      <c r="G1070" s="191">
        <v>0</v>
      </c>
      <c r="H1070" s="193">
        <v>3100</v>
      </c>
      <c r="I1070" s="191">
        <v>0</v>
      </c>
      <c r="J1070" s="193">
        <v>3092.25</v>
      </c>
      <c r="K1070" s="191">
        <v>0</v>
      </c>
      <c r="L1070" s="191">
        <v>0</v>
      </c>
      <c r="M1070" s="193">
        <v>3029.54</v>
      </c>
      <c r="N1070" s="191">
        <v>0</v>
      </c>
      <c r="O1070" s="191">
        <v>0</v>
      </c>
      <c r="P1070" s="191">
        <v>0</v>
      </c>
    </row>
    <row r="1071" spans="1:16" x14ac:dyDescent="0.25">
      <c r="A1071" s="190">
        <v>801010402</v>
      </c>
      <c r="B1071" s="190" t="s">
        <v>436</v>
      </c>
      <c r="C1071" s="190">
        <v>3551</v>
      </c>
      <c r="D1071" s="190" t="s">
        <v>408</v>
      </c>
      <c r="E1071" s="191">
        <v>0</v>
      </c>
      <c r="F1071" s="193">
        <v>1723</v>
      </c>
      <c r="G1071" s="191">
        <v>0</v>
      </c>
      <c r="H1071" s="191">
        <v>672</v>
      </c>
      <c r="I1071" s="191">
        <v>0</v>
      </c>
      <c r="J1071" s="193">
        <v>3734</v>
      </c>
      <c r="K1071" s="191">
        <v>0</v>
      </c>
      <c r="L1071" s="193">
        <v>3044</v>
      </c>
      <c r="M1071" s="191">
        <v>0</v>
      </c>
      <c r="N1071" s="191">
        <v>0</v>
      </c>
      <c r="O1071" s="191">
        <v>0</v>
      </c>
      <c r="P1071" s="191">
        <v>0</v>
      </c>
    </row>
    <row r="1072" spans="1:16" x14ac:dyDescent="0.25">
      <c r="A1072" s="190">
        <v>801010402</v>
      </c>
      <c r="B1072" s="190" t="s">
        <v>437</v>
      </c>
      <c r="C1072" s="190">
        <v>3551</v>
      </c>
      <c r="D1072" s="190" t="s">
        <v>408</v>
      </c>
      <c r="E1072" s="191">
        <v>0</v>
      </c>
      <c r="F1072" s="191">
        <v>0</v>
      </c>
      <c r="G1072" s="191">
        <v>0</v>
      </c>
      <c r="H1072" s="193">
        <v>3290.08</v>
      </c>
      <c r="I1072" s="191">
        <v>0</v>
      </c>
      <c r="J1072" s="193">
        <v>2444.44</v>
      </c>
      <c r="K1072" s="191">
        <v>0</v>
      </c>
      <c r="L1072" s="193">
        <v>5206.21</v>
      </c>
      <c r="M1072" s="191">
        <v>0</v>
      </c>
      <c r="N1072" s="191">
        <v>0</v>
      </c>
      <c r="O1072" s="191">
        <v>0</v>
      </c>
      <c r="P1072" s="191">
        <v>0</v>
      </c>
    </row>
    <row r="1073" spans="1:16" x14ac:dyDescent="0.25">
      <c r="A1073" s="190">
        <v>801010402</v>
      </c>
      <c r="B1073" s="190" t="s">
        <v>407</v>
      </c>
      <c r="C1073" s="190">
        <v>3571</v>
      </c>
      <c r="D1073" s="190" t="s">
        <v>408</v>
      </c>
      <c r="E1073" s="191">
        <v>0</v>
      </c>
      <c r="F1073" s="191">
        <v>0</v>
      </c>
      <c r="G1073" s="191">
        <v>0</v>
      </c>
      <c r="H1073" s="191">
        <v>0</v>
      </c>
      <c r="I1073" s="191">
        <v>0</v>
      </c>
      <c r="J1073" s="191">
        <v>0</v>
      </c>
      <c r="K1073" s="193">
        <v>30671.4</v>
      </c>
      <c r="L1073" s="191">
        <v>0</v>
      </c>
      <c r="M1073" s="191">
        <v>0</v>
      </c>
      <c r="N1073" s="191">
        <v>0</v>
      </c>
      <c r="O1073" s="191">
        <v>0</v>
      </c>
      <c r="P1073" s="191">
        <v>0</v>
      </c>
    </row>
    <row r="1074" spans="1:16" x14ac:dyDescent="0.25">
      <c r="A1074" s="190">
        <v>801010402</v>
      </c>
      <c r="B1074" s="190" t="s">
        <v>415</v>
      </c>
      <c r="C1074" s="190">
        <v>3571</v>
      </c>
      <c r="D1074" s="190" t="s">
        <v>408</v>
      </c>
      <c r="E1074" s="191">
        <v>0</v>
      </c>
      <c r="F1074" s="191">
        <v>0</v>
      </c>
      <c r="G1074" s="191">
        <v>0</v>
      </c>
      <c r="H1074" s="191">
        <v>0</v>
      </c>
      <c r="I1074" s="191">
        <v>0</v>
      </c>
      <c r="J1074" s="191">
        <v>0</v>
      </c>
      <c r="K1074" s="191">
        <v>0</v>
      </c>
      <c r="L1074" s="191">
        <v>0</v>
      </c>
      <c r="M1074" s="191">
        <v>0</v>
      </c>
      <c r="N1074" s="191">
        <v>0</v>
      </c>
      <c r="O1074" s="191">
        <v>0</v>
      </c>
      <c r="P1074" s="193">
        <v>9525.92</v>
      </c>
    </row>
    <row r="1075" spans="1:16" x14ac:dyDescent="0.25">
      <c r="A1075" s="190">
        <v>801010402</v>
      </c>
      <c r="B1075" s="190" t="s">
        <v>416</v>
      </c>
      <c r="C1075" s="190">
        <v>3571</v>
      </c>
      <c r="D1075" s="190" t="s">
        <v>408</v>
      </c>
      <c r="E1075" s="191">
        <v>0</v>
      </c>
      <c r="F1075" s="191">
        <v>0</v>
      </c>
      <c r="G1075" s="193">
        <v>16704</v>
      </c>
      <c r="H1075" s="191">
        <v>0</v>
      </c>
      <c r="I1075" s="191">
        <v>0</v>
      </c>
      <c r="J1075" s="191">
        <v>678.6</v>
      </c>
      <c r="K1075" s="191">
        <v>0</v>
      </c>
      <c r="L1075" s="191">
        <v>0</v>
      </c>
      <c r="M1075" s="191">
        <v>0</v>
      </c>
      <c r="N1075" s="191">
        <v>0</v>
      </c>
      <c r="O1075" s="193">
        <v>6409</v>
      </c>
      <c r="P1075" s="191">
        <v>0</v>
      </c>
    </row>
    <row r="1076" spans="1:16" x14ac:dyDescent="0.25">
      <c r="A1076" s="190">
        <v>801010402</v>
      </c>
      <c r="B1076" s="190" t="s">
        <v>419</v>
      </c>
      <c r="C1076" s="190">
        <v>3571</v>
      </c>
      <c r="D1076" s="190" t="s">
        <v>408</v>
      </c>
      <c r="E1076" s="191">
        <v>0</v>
      </c>
      <c r="F1076" s="191">
        <v>0</v>
      </c>
      <c r="G1076" s="191">
        <v>0</v>
      </c>
      <c r="H1076" s="193">
        <v>14589.99</v>
      </c>
      <c r="I1076" s="191">
        <v>0</v>
      </c>
      <c r="J1076" s="191">
        <v>942.44</v>
      </c>
      <c r="K1076" s="193">
        <v>65704.91</v>
      </c>
      <c r="L1076" s="191">
        <v>0</v>
      </c>
      <c r="M1076" s="191">
        <v>842.16</v>
      </c>
      <c r="N1076" s="191">
        <v>0</v>
      </c>
      <c r="O1076" s="191">
        <v>0</v>
      </c>
      <c r="P1076" s="191">
        <v>0</v>
      </c>
    </row>
    <row r="1077" spans="1:16" x14ac:dyDescent="0.25">
      <c r="A1077" s="190">
        <v>801010402</v>
      </c>
      <c r="B1077" s="190" t="s">
        <v>424</v>
      </c>
      <c r="C1077" s="190">
        <v>3571</v>
      </c>
      <c r="D1077" s="190" t="s">
        <v>408</v>
      </c>
      <c r="E1077" s="191">
        <v>0</v>
      </c>
      <c r="F1077" s="191">
        <v>0</v>
      </c>
      <c r="G1077" s="191">
        <v>0</v>
      </c>
      <c r="H1077" s="191">
        <v>0</v>
      </c>
      <c r="I1077" s="191">
        <v>0</v>
      </c>
      <c r="J1077" s="191">
        <v>0</v>
      </c>
      <c r="K1077" s="191">
        <v>0</v>
      </c>
      <c r="L1077" s="191">
        <v>420</v>
      </c>
      <c r="M1077" s="191">
        <v>0</v>
      </c>
      <c r="N1077" s="191">
        <v>0</v>
      </c>
      <c r="O1077" s="191">
        <v>0</v>
      </c>
      <c r="P1077" s="191">
        <v>0</v>
      </c>
    </row>
    <row r="1078" spans="1:16" x14ac:dyDescent="0.25">
      <c r="A1078" s="190">
        <v>801010402</v>
      </c>
      <c r="B1078" s="190" t="s">
        <v>426</v>
      </c>
      <c r="C1078" s="190">
        <v>3571</v>
      </c>
      <c r="D1078" s="190" t="s">
        <v>408</v>
      </c>
      <c r="E1078" s="191">
        <v>0</v>
      </c>
      <c r="F1078" s="191">
        <v>730.8</v>
      </c>
      <c r="G1078" s="191">
        <v>0</v>
      </c>
      <c r="H1078" s="191">
        <v>0</v>
      </c>
      <c r="I1078" s="191">
        <v>0</v>
      </c>
      <c r="J1078" s="191">
        <v>0</v>
      </c>
      <c r="K1078" s="191">
        <v>0</v>
      </c>
      <c r="L1078" s="191">
        <v>0</v>
      </c>
      <c r="M1078" s="191">
        <v>0</v>
      </c>
      <c r="N1078" s="191">
        <v>0</v>
      </c>
      <c r="O1078" s="191">
        <v>0</v>
      </c>
      <c r="P1078" s="191">
        <v>0</v>
      </c>
    </row>
    <row r="1079" spans="1:16" x14ac:dyDescent="0.25">
      <c r="A1079" s="190">
        <v>801010402</v>
      </c>
      <c r="B1079" s="190" t="s">
        <v>429</v>
      </c>
      <c r="C1079" s="190">
        <v>3571</v>
      </c>
      <c r="D1079" s="190" t="s">
        <v>408</v>
      </c>
      <c r="E1079" s="191">
        <v>0</v>
      </c>
      <c r="F1079" s="191">
        <v>0</v>
      </c>
      <c r="G1079" s="191">
        <v>0</v>
      </c>
      <c r="H1079" s="193">
        <v>8166.4</v>
      </c>
      <c r="I1079" s="191">
        <v>0</v>
      </c>
      <c r="J1079" s="191">
        <v>0</v>
      </c>
      <c r="K1079" s="191">
        <v>0</v>
      </c>
      <c r="L1079" s="191">
        <v>0</v>
      </c>
      <c r="M1079" s="191">
        <v>0</v>
      </c>
      <c r="N1079" s="191">
        <v>0</v>
      </c>
      <c r="O1079" s="191">
        <v>0</v>
      </c>
      <c r="P1079" s="191">
        <v>0</v>
      </c>
    </row>
    <row r="1080" spans="1:16" x14ac:dyDescent="0.25">
      <c r="A1080" s="190">
        <v>801010402</v>
      </c>
      <c r="B1080" s="190" t="s">
        <v>430</v>
      </c>
      <c r="C1080" s="190">
        <v>3571</v>
      </c>
      <c r="D1080" s="190" t="s">
        <v>408</v>
      </c>
      <c r="E1080" s="191">
        <v>0</v>
      </c>
      <c r="F1080" s="191">
        <v>0</v>
      </c>
      <c r="G1080" s="191">
        <v>0</v>
      </c>
      <c r="H1080" s="191">
        <v>0</v>
      </c>
      <c r="I1080" s="191">
        <v>0</v>
      </c>
      <c r="J1080" s="191">
        <v>0</v>
      </c>
      <c r="K1080" s="191">
        <v>0</v>
      </c>
      <c r="L1080" s="193">
        <v>12760</v>
      </c>
      <c r="M1080" s="191">
        <v>0</v>
      </c>
      <c r="N1080" s="191">
        <v>0</v>
      </c>
      <c r="O1080" s="191">
        <v>0</v>
      </c>
      <c r="P1080" s="191">
        <v>0</v>
      </c>
    </row>
    <row r="1081" spans="1:16" x14ac:dyDescent="0.25">
      <c r="A1081" s="190">
        <v>801010402</v>
      </c>
      <c r="B1081" s="190" t="s">
        <v>437</v>
      </c>
      <c r="C1081" s="190">
        <v>3571</v>
      </c>
      <c r="D1081" s="190" t="s">
        <v>408</v>
      </c>
      <c r="E1081" s="191">
        <v>0</v>
      </c>
      <c r="F1081" s="191">
        <v>0</v>
      </c>
      <c r="G1081" s="193">
        <v>5568</v>
      </c>
      <c r="H1081" s="193">
        <v>1787.49</v>
      </c>
      <c r="I1081" s="191">
        <v>0</v>
      </c>
      <c r="J1081" s="191">
        <v>0</v>
      </c>
      <c r="K1081" s="191">
        <v>0</v>
      </c>
      <c r="L1081" s="191">
        <v>0</v>
      </c>
      <c r="M1081" s="191">
        <v>0</v>
      </c>
      <c r="N1081" s="191">
        <v>0</v>
      </c>
      <c r="O1081" s="191">
        <v>0</v>
      </c>
      <c r="P1081" s="191">
        <v>0</v>
      </c>
    </row>
    <row r="1082" spans="1:16" x14ac:dyDescent="0.25">
      <c r="A1082" s="190">
        <v>801010402</v>
      </c>
      <c r="B1082" s="190" t="s">
        <v>437</v>
      </c>
      <c r="C1082" s="190">
        <v>3581</v>
      </c>
      <c r="D1082" s="190" t="s">
        <v>408</v>
      </c>
      <c r="E1082" s="193">
        <v>2345.52</v>
      </c>
      <c r="F1082" s="193">
        <v>1973.16</v>
      </c>
      <c r="G1082" s="193">
        <v>9983.25</v>
      </c>
      <c r="H1082" s="191">
        <v>0</v>
      </c>
      <c r="I1082" s="193">
        <v>4380.8500000000004</v>
      </c>
      <c r="J1082" s="191">
        <v>0</v>
      </c>
      <c r="K1082" s="191">
        <v>0</v>
      </c>
      <c r="L1082" s="193">
        <v>12952.61</v>
      </c>
      <c r="M1082" s="193">
        <v>9451.6200000000008</v>
      </c>
      <c r="N1082" s="193">
        <v>6637.05</v>
      </c>
      <c r="O1082" s="193">
        <v>5002.26</v>
      </c>
      <c r="P1082" s="193">
        <v>1798.4</v>
      </c>
    </row>
    <row r="1083" spans="1:16" x14ac:dyDescent="0.25">
      <c r="A1083" s="190">
        <v>801010402</v>
      </c>
      <c r="B1083" s="190" t="s">
        <v>410</v>
      </c>
      <c r="C1083" s="190">
        <v>3591</v>
      </c>
      <c r="D1083" s="190" t="s">
        <v>408</v>
      </c>
      <c r="E1083" s="191">
        <v>0</v>
      </c>
      <c r="F1083" s="191">
        <v>0</v>
      </c>
      <c r="G1083" s="191">
        <v>0</v>
      </c>
      <c r="H1083" s="191">
        <v>0</v>
      </c>
      <c r="I1083" s="191">
        <v>0</v>
      </c>
      <c r="J1083" s="191">
        <v>0</v>
      </c>
      <c r="K1083" s="191">
        <v>0</v>
      </c>
      <c r="L1083" s="191">
        <v>0</v>
      </c>
      <c r="M1083" s="191">
        <v>0</v>
      </c>
      <c r="N1083" s="191">
        <v>0</v>
      </c>
      <c r="O1083" s="191">
        <v>0</v>
      </c>
      <c r="P1083" s="193">
        <v>1786.4</v>
      </c>
    </row>
    <row r="1084" spans="1:16" x14ac:dyDescent="0.25">
      <c r="A1084" s="190">
        <v>801010402</v>
      </c>
      <c r="B1084" s="190" t="s">
        <v>411</v>
      </c>
      <c r="C1084" s="190">
        <v>3591</v>
      </c>
      <c r="D1084" s="190" t="s">
        <v>408</v>
      </c>
      <c r="E1084" s="191">
        <v>0</v>
      </c>
      <c r="F1084" s="191">
        <v>0</v>
      </c>
      <c r="G1084" s="191">
        <v>0</v>
      </c>
      <c r="H1084" s="191">
        <v>0</v>
      </c>
      <c r="I1084" s="191">
        <v>0</v>
      </c>
      <c r="J1084" s="191">
        <v>0</v>
      </c>
      <c r="K1084" s="191">
        <v>0</v>
      </c>
      <c r="L1084" s="191">
        <v>0</v>
      </c>
      <c r="M1084" s="191">
        <v>0</v>
      </c>
      <c r="N1084" s="191">
        <v>0</v>
      </c>
      <c r="O1084" s="193">
        <v>3619.2</v>
      </c>
      <c r="P1084" s="191">
        <v>0</v>
      </c>
    </row>
    <row r="1085" spans="1:16" x14ac:dyDescent="0.25">
      <c r="A1085" s="190">
        <v>801010402</v>
      </c>
      <c r="B1085" s="190" t="s">
        <v>412</v>
      </c>
      <c r="C1085" s="190">
        <v>3591</v>
      </c>
      <c r="D1085" s="190" t="s">
        <v>408</v>
      </c>
      <c r="E1085" s="191">
        <v>0</v>
      </c>
      <c r="F1085" s="191">
        <v>0</v>
      </c>
      <c r="G1085" s="191">
        <v>0</v>
      </c>
      <c r="H1085" s="191">
        <v>0</v>
      </c>
      <c r="I1085" s="191">
        <v>0</v>
      </c>
      <c r="J1085" s="191">
        <v>0</v>
      </c>
      <c r="K1085" s="191">
        <v>0</v>
      </c>
      <c r="L1085" s="193">
        <v>2900</v>
      </c>
      <c r="M1085" s="191">
        <v>0</v>
      </c>
      <c r="N1085" s="191">
        <v>0</v>
      </c>
      <c r="O1085" s="191">
        <v>0</v>
      </c>
      <c r="P1085" s="191">
        <v>0</v>
      </c>
    </row>
    <row r="1086" spans="1:16" x14ac:dyDescent="0.25">
      <c r="A1086" s="190">
        <v>801010402</v>
      </c>
      <c r="B1086" s="190" t="s">
        <v>416</v>
      </c>
      <c r="C1086" s="190">
        <v>3591</v>
      </c>
      <c r="D1086" s="190" t="s">
        <v>408</v>
      </c>
      <c r="E1086" s="191">
        <v>0</v>
      </c>
      <c r="F1086" s="191">
        <v>0</v>
      </c>
      <c r="G1086" s="191">
        <v>0</v>
      </c>
      <c r="H1086" s="191">
        <v>0</v>
      </c>
      <c r="I1086" s="191">
        <v>0</v>
      </c>
      <c r="J1086" s="191">
        <v>0</v>
      </c>
      <c r="K1086" s="191">
        <v>0</v>
      </c>
      <c r="L1086" s="193">
        <v>2459.1999999999998</v>
      </c>
      <c r="M1086" s="191">
        <v>0</v>
      </c>
      <c r="N1086" s="191">
        <v>0</v>
      </c>
      <c r="O1086" s="191">
        <v>0</v>
      </c>
      <c r="P1086" s="191">
        <v>0</v>
      </c>
    </row>
    <row r="1087" spans="1:16" x14ac:dyDescent="0.25">
      <c r="A1087" s="190">
        <v>801010402</v>
      </c>
      <c r="B1087" s="190" t="s">
        <v>419</v>
      </c>
      <c r="C1087" s="190">
        <v>3591</v>
      </c>
      <c r="D1087" s="190" t="s">
        <v>408</v>
      </c>
      <c r="E1087" s="191">
        <v>0</v>
      </c>
      <c r="F1087" s="191">
        <v>0</v>
      </c>
      <c r="G1087" s="191">
        <v>0</v>
      </c>
      <c r="H1087" s="191">
        <v>0</v>
      </c>
      <c r="I1087" s="191">
        <v>0</v>
      </c>
      <c r="J1087" s="191">
        <v>0</v>
      </c>
      <c r="K1087" s="191">
        <v>0</v>
      </c>
      <c r="L1087" s="193">
        <v>1751.6</v>
      </c>
      <c r="M1087" s="191">
        <v>0</v>
      </c>
      <c r="N1087" s="191">
        <v>0</v>
      </c>
      <c r="O1087" s="191">
        <v>0</v>
      </c>
      <c r="P1087" s="191">
        <v>0</v>
      </c>
    </row>
    <row r="1088" spans="1:16" x14ac:dyDescent="0.25">
      <c r="A1088" s="190">
        <v>801010402</v>
      </c>
      <c r="B1088" s="190" t="s">
        <v>425</v>
      </c>
      <c r="C1088" s="190">
        <v>3591</v>
      </c>
      <c r="D1088" s="190" t="s">
        <v>408</v>
      </c>
      <c r="E1088" s="191">
        <v>0</v>
      </c>
      <c r="F1088" s="191">
        <v>0</v>
      </c>
      <c r="G1088" s="191">
        <v>0</v>
      </c>
      <c r="H1088" s="191">
        <v>0</v>
      </c>
      <c r="I1088" s="191">
        <v>0</v>
      </c>
      <c r="J1088" s="191">
        <v>0</v>
      </c>
      <c r="K1088" s="191">
        <v>0</v>
      </c>
      <c r="L1088" s="193">
        <v>2714.4</v>
      </c>
      <c r="M1088" s="191">
        <v>0</v>
      </c>
      <c r="N1088" s="191">
        <v>0</v>
      </c>
      <c r="O1088" s="191">
        <v>0</v>
      </c>
      <c r="P1088" s="191">
        <v>0</v>
      </c>
    </row>
    <row r="1089" spans="1:16" x14ac:dyDescent="0.25">
      <c r="A1089" s="190">
        <v>801010402</v>
      </c>
      <c r="B1089" s="190" t="s">
        <v>426</v>
      </c>
      <c r="C1089" s="190">
        <v>3591</v>
      </c>
      <c r="D1089" s="190" t="s">
        <v>408</v>
      </c>
      <c r="E1089" s="191">
        <v>0</v>
      </c>
      <c r="F1089" s="191">
        <v>0</v>
      </c>
      <c r="G1089" s="191">
        <v>0</v>
      </c>
      <c r="H1089" s="193">
        <v>11600</v>
      </c>
      <c r="I1089" s="191">
        <v>0</v>
      </c>
      <c r="J1089" s="191">
        <v>0</v>
      </c>
      <c r="K1089" s="191">
        <v>0</v>
      </c>
      <c r="L1089" s="191">
        <v>0</v>
      </c>
      <c r="M1089" s="191">
        <v>0</v>
      </c>
      <c r="N1089" s="193">
        <v>1786.4</v>
      </c>
      <c r="O1089" s="191">
        <v>0</v>
      </c>
      <c r="P1089" s="191">
        <v>0</v>
      </c>
    </row>
    <row r="1090" spans="1:16" x14ac:dyDescent="0.25">
      <c r="A1090" s="190">
        <v>801010402</v>
      </c>
      <c r="B1090" s="190" t="s">
        <v>431</v>
      </c>
      <c r="C1090" s="190">
        <v>3591</v>
      </c>
      <c r="D1090" s="190" t="s">
        <v>408</v>
      </c>
      <c r="E1090" s="191">
        <v>0</v>
      </c>
      <c r="F1090" s="191">
        <v>0</v>
      </c>
      <c r="G1090" s="191">
        <v>0</v>
      </c>
      <c r="H1090" s="191">
        <v>0</v>
      </c>
      <c r="I1090" s="191">
        <v>0</v>
      </c>
      <c r="J1090" s="193">
        <v>6032</v>
      </c>
      <c r="K1090" s="191">
        <v>0</v>
      </c>
      <c r="L1090" s="191">
        <v>0</v>
      </c>
      <c r="M1090" s="191">
        <v>0</v>
      </c>
      <c r="N1090" s="191">
        <v>0</v>
      </c>
      <c r="O1090" s="191">
        <v>0</v>
      </c>
      <c r="P1090" s="191">
        <v>0</v>
      </c>
    </row>
    <row r="1091" spans="1:16" x14ac:dyDescent="0.25">
      <c r="A1091" s="190">
        <v>801010402</v>
      </c>
      <c r="B1091" s="190" t="s">
        <v>437</v>
      </c>
      <c r="C1091" s="190">
        <v>3591</v>
      </c>
      <c r="D1091" s="190" t="s">
        <v>408</v>
      </c>
      <c r="E1091" s="191">
        <v>0</v>
      </c>
      <c r="F1091" s="193">
        <v>8120</v>
      </c>
      <c r="G1091" s="191">
        <v>0</v>
      </c>
      <c r="H1091" s="191">
        <v>0</v>
      </c>
      <c r="I1091" s="191">
        <v>0</v>
      </c>
      <c r="J1091" s="191">
        <v>0</v>
      </c>
      <c r="K1091" s="191">
        <v>0</v>
      </c>
      <c r="L1091" s="191">
        <v>0</v>
      </c>
      <c r="M1091" s="191">
        <v>0</v>
      </c>
      <c r="N1091" s="191">
        <v>0</v>
      </c>
      <c r="O1091" s="191">
        <v>0</v>
      </c>
      <c r="P1091" s="191">
        <v>0</v>
      </c>
    </row>
    <row r="1092" spans="1:16" x14ac:dyDescent="0.25">
      <c r="A1092" s="190">
        <v>801010402</v>
      </c>
      <c r="B1092" s="190" t="s">
        <v>407</v>
      </c>
      <c r="C1092" s="190">
        <v>3611</v>
      </c>
      <c r="D1092" s="190" t="s">
        <v>408</v>
      </c>
      <c r="E1092" s="191">
        <v>0</v>
      </c>
      <c r="F1092" s="191">
        <v>0</v>
      </c>
      <c r="G1092" s="191">
        <v>0</v>
      </c>
      <c r="H1092" s="193">
        <v>7941.36</v>
      </c>
      <c r="I1092" s="191">
        <v>742.4</v>
      </c>
      <c r="J1092" s="193">
        <v>20531.830000000002</v>
      </c>
      <c r="K1092" s="193">
        <v>40084.120000000003</v>
      </c>
      <c r="L1092" s="193">
        <v>42478.28</v>
      </c>
      <c r="M1092" s="191">
        <v>0</v>
      </c>
      <c r="N1092" s="193">
        <v>2610</v>
      </c>
      <c r="O1092" s="191">
        <v>0</v>
      </c>
      <c r="P1092" s="193">
        <v>130237.87</v>
      </c>
    </row>
    <row r="1093" spans="1:16" x14ac:dyDescent="0.25">
      <c r="A1093" s="190">
        <v>801010402</v>
      </c>
      <c r="B1093" s="190" t="s">
        <v>410</v>
      </c>
      <c r="C1093" s="190">
        <v>3611</v>
      </c>
      <c r="D1093" s="190" t="s">
        <v>408</v>
      </c>
      <c r="E1093" s="191">
        <v>0</v>
      </c>
      <c r="F1093" s="191">
        <v>0</v>
      </c>
      <c r="G1093" s="191">
        <v>0</v>
      </c>
      <c r="H1093" s="193">
        <v>5324.4</v>
      </c>
      <c r="I1093" s="191">
        <v>371.2</v>
      </c>
      <c r="J1093" s="193">
        <v>6446.35</v>
      </c>
      <c r="K1093" s="193">
        <v>2799.78</v>
      </c>
      <c r="L1093" s="193">
        <v>3176.74</v>
      </c>
      <c r="M1093" s="191">
        <v>0</v>
      </c>
      <c r="N1093" s="191">
        <v>0</v>
      </c>
      <c r="O1093" s="193">
        <v>1491.18</v>
      </c>
      <c r="P1093" s="193">
        <v>8830.49</v>
      </c>
    </row>
    <row r="1094" spans="1:16" x14ac:dyDescent="0.25">
      <c r="A1094" s="190">
        <v>801010402</v>
      </c>
      <c r="B1094" s="190" t="s">
        <v>411</v>
      </c>
      <c r="C1094" s="190">
        <v>3611</v>
      </c>
      <c r="D1094" s="190" t="s">
        <v>408</v>
      </c>
      <c r="E1094" s="191">
        <v>0</v>
      </c>
      <c r="F1094" s="191">
        <v>0</v>
      </c>
      <c r="G1094" s="191">
        <v>0</v>
      </c>
      <c r="H1094" s="191">
        <v>0</v>
      </c>
      <c r="I1094" s="191">
        <v>371.2</v>
      </c>
      <c r="J1094" s="193">
        <v>6446.35</v>
      </c>
      <c r="K1094" s="193">
        <v>2799.78</v>
      </c>
      <c r="L1094" s="193">
        <v>3176.74</v>
      </c>
      <c r="M1094" s="191">
        <v>0</v>
      </c>
      <c r="N1094" s="191">
        <v>0</v>
      </c>
      <c r="O1094" s="191">
        <v>0</v>
      </c>
      <c r="P1094" s="193">
        <v>8830.49</v>
      </c>
    </row>
    <row r="1095" spans="1:16" x14ac:dyDescent="0.25">
      <c r="A1095" s="190">
        <v>801010402</v>
      </c>
      <c r="B1095" s="190" t="s">
        <v>412</v>
      </c>
      <c r="C1095" s="190">
        <v>3611</v>
      </c>
      <c r="D1095" s="190" t="s">
        <v>408</v>
      </c>
      <c r="E1095" s="191">
        <v>0</v>
      </c>
      <c r="F1095" s="191">
        <v>0</v>
      </c>
      <c r="G1095" s="191">
        <v>0</v>
      </c>
      <c r="H1095" s="191">
        <v>0</v>
      </c>
      <c r="I1095" s="191">
        <v>371.2</v>
      </c>
      <c r="J1095" s="193">
        <v>6446.35</v>
      </c>
      <c r="K1095" s="193">
        <v>2799.78</v>
      </c>
      <c r="L1095" s="193">
        <v>3176.74</v>
      </c>
      <c r="M1095" s="191">
        <v>0</v>
      </c>
      <c r="N1095" s="191">
        <v>0</v>
      </c>
      <c r="O1095" s="191">
        <v>0</v>
      </c>
      <c r="P1095" s="193">
        <v>8830.49</v>
      </c>
    </row>
    <row r="1096" spans="1:16" x14ac:dyDescent="0.25">
      <c r="A1096" s="190">
        <v>801010402</v>
      </c>
      <c r="B1096" s="190" t="s">
        <v>413</v>
      </c>
      <c r="C1096" s="190">
        <v>3611</v>
      </c>
      <c r="D1096" s="190" t="s">
        <v>408</v>
      </c>
      <c r="E1096" s="191">
        <v>0</v>
      </c>
      <c r="F1096" s="191">
        <v>0</v>
      </c>
      <c r="G1096" s="191">
        <v>0</v>
      </c>
      <c r="H1096" s="191">
        <v>0</v>
      </c>
      <c r="I1096" s="191">
        <v>371.2</v>
      </c>
      <c r="J1096" s="193">
        <v>6446.35</v>
      </c>
      <c r="K1096" s="193">
        <v>2799.78</v>
      </c>
      <c r="L1096" s="193">
        <v>3176.74</v>
      </c>
      <c r="M1096" s="191">
        <v>0</v>
      </c>
      <c r="N1096" s="191">
        <v>0</v>
      </c>
      <c r="O1096" s="191">
        <v>0</v>
      </c>
      <c r="P1096" s="193">
        <v>8830.49</v>
      </c>
    </row>
    <row r="1097" spans="1:16" x14ac:dyDescent="0.25">
      <c r="A1097" s="190">
        <v>801010402</v>
      </c>
      <c r="B1097" s="190" t="s">
        <v>414</v>
      </c>
      <c r="C1097" s="190">
        <v>3611</v>
      </c>
      <c r="D1097" s="190" t="s">
        <v>408</v>
      </c>
      <c r="E1097" s="191">
        <v>0</v>
      </c>
      <c r="F1097" s="191">
        <v>0</v>
      </c>
      <c r="G1097" s="191">
        <v>0</v>
      </c>
      <c r="H1097" s="193">
        <v>1705.2</v>
      </c>
      <c r="I1097" s="191">
        <v>371.2</v>
      </c>
      <c r="J1097" s="193">
        <v>6446.35</v>
      </c>
      <c r="K1097" s="193">
        <v>2799.78</v>
      </c>
      <c r="L1097" s="193">
        <v>3176.74</v>
      </c>
      <c r="M1097" s="191">
        <v>0</v>
      </c>
      <c r="N1097" s="191">
        <v>0</v>
      </c>
      <c r="O1097" s="191">
        <v>0</v>
      </c>
      <c r="P1097" s="193">
        <v>8830.49</v>
      </c>
    </row>
    <row r="1098" spans="1:16" x14ac:dyDescent="0.25">
      <c r="A1098" s="190">
        <v>801010402</v>
      </c>
      <c r="B1098" s="190" t="s">
        <v>415</v>
      </c>
      <c r="C1098" s="190">
        <v>3611</v>
      </c>
      <c r="D1098" s="190" t="s">
        <v>408</v>
      </c>
      <c r="E1098" s="191">
        <v>0</v>
      </c>
      <c r="F1098" s="191">
        <v>0</v>
      </c>
      <c r="G1098" s="191">
        <v>0</v>
      </c>
      <c r="H1098" s="193">
        <v>1705.2</v>
      </c>
      <c r="I1098" s="191">
        <v>371.2</v>
      </c>
      <c r="J1098" s="193">
        <v>6446.35</v>
      </c>
      <c r="K1098" s="193">
        <v>2799.78</v>
      </c>
      <c r="L1098" s="193">
        <v>3176.74</v>
      </c>
      <c r="M1098" s="191">
        <v>0</v>
      </c>
      <c r="N1098" s="191">
        <v>0</v>
      </c>
      <c r="O1098" s="191">
        <v>0</v>
      </c>
      <c r="P1098" s="193">
        <v>8830.49</v>
      </c>
    </row>
    <row r="1099" spans="1:16" x14ac:dyDescent="0.25">
      <c r="A1099" s="190">
        <v>801010402</v>
      </c>
      <c r="B1099" s="190" t="s">
        <v>416</v>
      </c>
      <c r="C1099" s="190">
        <v>3611</v>
      </c>
      <c r="D1099" s="190" t="s">
        <v>408</v>
      </c>
      <c r="E1099" s="191">
        <v>0</v>
      </c>
      <c r="F1099" s="191">
        <v>0</v>
      </c>
      <c r="G1099" s="191">
        <v>0</v>
      </c>
      <c r="H1099" s="191">
        <v>0</v>
      </c>
      <c r="I1099" s="191">
        <v>371.2</v>
      </c>
      <c r="J1099" s="193">
        <v>6446.35</v>
      </c>
      <c r="K1099" s="193">
        <v>2799.78</v>
      </c>
      <c r="L1099" s="193">
        <v>3176.74</v>
      </c>
      <c r="M1099" s="191">
        <v>0</v>
      </c>
      <c r="N1099" s="191">
        <v>0</v>
      </c>
      <c r="O1099" s="191">
        <v>0</v>
      </c>
      <c r="P1099" s="193">
        <v>8830.49</v>
      </c>
    </row>
    <row r="1100" spans="1:16" x14ac:dyDescent="0.25">
      <c r="A1100" s="190">
        <v>801010402</v>
      </c>
      <c r="B1100" s="190" t="s">
        <v>417</v>
      </c>
      <c r="C1100" s="190">
        <v>3611</v>
      </c>
      <c r="D1100" s="190" t="s">
        <v>408</v>
      </c>
      <c r="E1100" s="191">
        <v>0</v>
      </c>
      <c r="F1100" s="191">
        <v>0</v>
      </c>
      <c r="G1100" s="191">
        <v>0</v>
      </c>
      <c r="H1100" s="191">
        <v>730</v>
      </c>
      <c r="I1100" s="191">
        <v>371.2</v>
      </c>
      <c r="J1100" s="193">
        <v>6446.35</v>
      </c>
      <c r="K1100" s="193">
        <v>2799.78</v>
      </c>
      <c r="L1100" s="193">
        <v>3176.74</v>
      </c>
      <c r="M1100" s="191">
        <v>0</v>
      </c>
      <c r="N1100" s="191">
        <v>0</v>
      </c>
      <c r="O1100" s="191">
        <v>0</v>
      </c>
      <c r="P1100" s="193">
        <v>8830.49</v>
      </c>
    </row>
    <row r="1101" spans="1:16" x14ac:dyDescent="0.25">
      <c r="A1101" s="190">
        <v>801010402</v>
      </c>
      <c r="B1101" s="190" t="s">
        <v>419</v>
      </c>
      <c r="C1101" s="190">
        <v>3611</v>
      </c>
      <c r="D1101" s="190" t="s">
        <v>408</v>
      </c>
      <c r="E1101" s="191">
        <v>0</v>
      </c>
      <c r="F1101" s="191">
        <v>0</v>
      </c>
      <c r="G1101" s="191">
        <v>0</v>
      </c>
      <c r="H1101" s="193">
        <v>1705.2</v>
      </c>
      <c r="I1101" s="191">
        <v>371.2</v>
      </c>
      <c r="J1101" s="193">
        <v>8302.35</v>
      </c>
      <c r="K1101" s="193">
        <v>3634.98</v>
      </c>
      <c r="L1101" s="193">
        <v>3176.74</v>
      </c>
      <c r="M1101" s="191">
        <v>0</v>
      </c>
      <c r="N1101" s="191">
        <v>0</v>
      </c>
      <c r="O1101" s="191">
        <v>0</v>
      </c>
      <c r="P1101" s="193">
        <v>8830.49</v>
      </c>
    </row>
    <row r="1102" spans="1:16" x14ac:dyDescent="0.25">
      <c r="A1102" s="190">
        <v>801010402</v>
      </c>
      <c r="B1102" s="190" t="s">
        <v>420</v>
      </c>
      <c r="C1102" s="190">
        <v>3611</v>
      </c>
      <c r="D1102" s="190" t="s">
        <v>408</v>
      </c>
      <c r="E1102" s="191">
        <v>0</v>
      </c>
      <c r="F1102" s="191">
        <v>0</v>
      </c>
      <c r="G1102" s="191">
        <v>0</v>
      </c>
      <c r="H1102" s="191">
        <v>0</v>
      </c>
      <c r="I1102" s="191">
        <v>371.2</v>
      </c>
      <c r="J1102" s="193">
        <v>6446.35</v>
      </c>
      <c r="K1102" s="193">
        <v>2799.78</v>
      </c>
      <c r="L1102" s="193">
        <v>3176.74</v>
      </c>
      <c r="M1102" s="191">
        <v>0</v>
      </c>
      <c r="N1102" s="191">
        <v>0</v>
      </c>
      <c r="O1102" s="191">
        <v>0</v>
      </c>
      <c r="P1102" s="193">
        <v>8830.49</v>
      </c>
    </row>
    <row r="1103" spans="1:16" x14ac:dyDescent="0.25">
      <c r="A1103" s="190">
        <v>801010402</v>
      </c>
      <c r="B1103" s="190" t="s">
        <v>421</v>
      </c>
      <c r="C1103" s="190">
        <v>3611</v>
      </c>
      <c r="D1103" s="190" t="s">
        <v>408</v>
      </c>
      <c r="E1103" s="191">
        <v>0</v>
      </c>
      <c r="F1103" s="191">
        <v>0</v>
      </c>
      <c r="G1103" s="191">
        <v>0</v>
      </c>
      <c r="H1103" s="191">
        <v>0</v>
      </c>
      <c r="I1103" s="191">
        <v>371.2</v>
      </c>
      <c r="J1103" s="193">
        <v>6446.35</v>
      </c>
      <c r="K1103" s="193">
        <v>2799.78</v>
      </c>
      <c r="L1103" s="193">
        <v>3176.74</v>
      </c>
      <c r="M1103" s="191">
        <v>0</v>
      </c>
      <c r="N1103" s="191">
        <v>0</v>
      </c>
      <c r="O1103" s="191">
        <v>0</v>
      </c>
      <c r="P1103" s="193">
        <v>8830.49</v>
      </c>
    </row>
    <row r="1104" spans="1:16" x14ac:dyDescent="0.25">
      <c r="A1104" s="190">
        <v>801010402</v>
      </c>
      <c r="B1104" s="190" t="s">
        <v>422</v>
      </c>
      <c r="C1104" s="190">
        <v>3611</v>
      </c>
      <c r="D1104" s="190" t="s">
        <v>408</v>
      </c>
      <c r="E1104" s="191">
        <v>0</v>
      </c>
      <c r="F1104" s="191">
        <v>0</v>
      </c>
      <c r="G1104" s="191">
        <v>0</v>
      </c>
      <c r="H1104" s="191">
        <v>0</v>
      </c>
      <c r="I1104" s="191">
        <v>371.2</v>
      </c>
      <c r="J1104" s="193">
        <v>6446.35</v>
      </c>
      <c r="K1104" s="193">
        <v>2799.78</v>
      </c>
      <c r="L1104" s="193">
        <v>2797.51</v>
      </c>
      <c r="M1104" s="191">
        <v>0</v>
      </c>
      <c r="N1104" s="191">
        <v>0</v>
      </c>
      <c r="O1104" s="191">
        <v>0</v>
      </c>
      <c r="P1104" s="193">
        <v>8830.49</v>
      </c>
    </row>
    <row r="1105" spans="1:16" x14ac:dyDescent="0.25">
      <c r="A1105" s="190">
        <v>801010402</v>
      </c>
      <c r="B1105" s="190" t="s">
        <v>423</v>
      </c>
      <c r="C1105" s="190">
        <v>3611</v>
      </c>
      <c r="D1105" s="190" t="s">
        <v>408</v>
      </c>
      <c r="E1105" s="191">
        <v>0</v>
      </c>
      <c r="F1105" s="191">
        <v>0</v>
      </c>
      <c r="G1105" s="191">
        <v>0</v>
      </c>
      <c r="H1105" s="191">
        <v>0</v>
      </c>
      <c r="I1105" s="191">
        <v>371.2</v>
      </c>
      <c r="J1105" s="193">
        <v>6446.35</v>
      </c>
      <c r="K1105" s="193">
        <v>2799.78</v>
      </c>
      <c r="L1105" s="193">
        <v>3176.74</v>
      </c>
      <c r="M1105" s="191">
        <v>0</v>
      </c>
      <c r="N1105" s="191">
        <v>0</v>
      </c>
      <c r="O1105" s="191">
        <v>0</v>
      </c>
      <c r="P1105" s="193">
        <v>8830.49</v>
      </c>
    </row>
    <row r="1106" spans="1:16" x14ac:dyDescent="0.25">
      <c r="A1106" s="190">
        <v>801010402</v>
      </c>
      <c r="B1106" s="190" t="s">
        <v>424</v>
      </c>
      <c r="C1106" s="190">
        <v>3611</v>
      </c>
      <c r="D1106" s="190" t="s">
        <v>408</v>
      </c>
      <c r="E1106" s="191">
        <v>0</v>
      </c>
      <c r="F1106" s="191">
        <v>0</v>
      </c>
      <c r="G1106" s="191">
        <v>0</v>
      </c>
      <c r="H1106" s="191">
        <v>0</v>
      </c>
      <c r="I1106" s="191">
        <v>371.2</v>
      </c>
      <c r="J1106" s="193">
        <v>6446.35</v>
      </c>
      <c r="K1106" s="193">
        <v>2799.78</v>
      </c>
      <c r="L1106" s="193">
        <v>3176.74</v>
      </c>
      <c r="M1106" s="191">
        <v>0</v>
      </c>
      <c r="N1106" s="191">
        <v>0</v>
      </c>
      <c r="O1106" s="191">
        <v>0</v>
      </c>
      <c r="P1106" s="193">
        <v>8830.49</v>
      </c>
    </row>
    <row r="1107" spans="1:16" x14ac:dyDescent="0.25">
      <c r="A1107" s="190">
        <v>801010402</v>
      </c>
      <c r="B1107" s="190" t="s">
        <v>425</v>
      </c>
      <c r="C1107" s="190">
        <v>3611</v>
      </c>
      <c r="D1107" s="190" t="s">
        <v>408</v>
      </c>
      <c r="E1107" s="191">
        <v>0</v>
      </c>
      <c r="F1107" s="191">
        <v>0</v>
      </c>
      <c r="G1107" s="191">
        <v>0</v>
      </c>
      <c r="H1107" s="193">
        <v>3410.4</v>
      </c>
      <c r="I1107" s="191">
        <v>371.2</v>
      </c>
      <c r="J1107" s="193">
        <v>6446.35</v>
      </c>
      <c r="K1107" s="193">
        <v>2799.78</v>
      </c>
      <c r="L1107" s="193">
        <v>3176.74</v>
      </c>
      <c r="M1107" s="191">
        <v>0</v>
      </c>
      <c r="N1107" s="191">
        <v>0</v>
      </c>
      <c r="O1107" s="191">
        <v>0</v>
      </c>
      <c r="P1107" s="193">
        <v>8830.49</v>
      </c>
    </row>
    <row r="1108" spans="1:16" x14ac:dyDescent="0.25">
      <c r="A1108" s="190">
        <v>801010402</v>
      </c>
      <c r="B1108" s="190" t="s">
        <v>426</v>
      </c>
      <c r="C1108" s="190">
        <v>3611</v>
      </c>
      <c r="D1108" s="190" t="s">
        <v>408</v>
      </c>
      <c r="E1108" s="191">
        <v>0</v>
      </c>
      <c r="F1108" s="191">
        <v>0</v>
      </c>
      <c r="G1108" s="191">
        <v>0</v>
      </c>
      <c r="H1108" s="193">
        <v>1705.2</v>
      </c>
      <c r="I1108" s="191">
        <v>371.2</v>
      </c>
      <c r="J1108" s="193">
        <v>6446.35</v>
      </c>
      <c r="K1108" s="193">
        <v>2799.78</v>
      </c>
      <c r="L1108" s="193">
        <v>3176.74</v>
      </c>
      <c r="M1108" s="191">
        <v>0</v>
      </c>
      <c r="N1108" s="191">
        <v>0</v>
      </c>
      <c r="O1108" s="191">
        <v>0</v>
      </c>
      <c r="P1108" s="193">
        <v>8830.49</v>
      </c>
    </row>
    <row r="1109" spans="1:16" x14ac:dyDescent="0.25">
      <c r="A1109" s="190">
        <v>801010402</v>
      </c>
      <c r="B1109" s="190" t="s">
        <v>427</v>
      </c>
      <c r="C1109" s="190">
        <v>3611</v>
      </c>
      <c r="D1109" s="190" t="s">
        <v>408</v>
      </c>
      <c r="E1109" s="191">
        <v>0</v>
      </c>
      <c r="F1109" s="191">
        <v>0</v>
      </c>
      <c r="G1109" s="191">
        <v>0</v>
      </c>
      <c r="H1109" s="193">
        <v>1705.2</v>
      </c>
      <c r="I1109" s="191">
        <v>371.2</v>
      </c>
      <c r="J1109" s="193">
        <v>6446.35</v>
      </c>
      <c r="K1109" s="193">
        <v>2799.78</v>
      </c>
      <c r="L1109" s="193">
        <v>3176.74</v>
      </c>
      <c r="M1109" s="191">
        <v>0</v>
      </c>
      <c r="N1109" s="191">
        <v>0</v>
      </c>
      <c r="O1109" s="191">
        <v>0</v>
      </c>
      <c r="P1109" s="193">
        <v>8830.49</v>
      </c>
    </row>
    <row r="1110" spans="1:16" x14ac:dyDescent="0.25">
      <c r="A1110" s="190">
        <v>801010402</v>
      </c>
      <c r="B1110" s="190" t="s">
        <v>428</v>
      </c>
      <c r="C1110" s="190">
        <v>3611</v>
      </c>
      <c r="D1110" s="190" t="s">
        <v>408</v>
      </c>
      <c r="E1110" s="191">
        <v>0</v>
      </c>
      <c r="F1110" s="191">
        <v>0</v>
      </c>
      <c r="G1110" s="191">
        <v>0</v>
      </c>
      <c r="H1110" s="193">
        <v>1705.2</v>
      </c>
      <c r="I1110" s="191">
        <v>371.2</v>
      </c>
      <c r="J1110" s="193">
        <v>6446.35</v>
      </c>
      <c r="K1110" s="193">
        <v>2799.78</v>
      </c>
      <c r="L1110" s="193">
        <v>3176.74</v>
      </c>
      <c r="M1110" s="191">
        <v>0</v>
      </c>
      <c r="N1110" s="191">
        <v>0</v>
      </c>
      <c r="O1110" s="191">
        <v>0</v>
      </c>
      <c r="P1110" s="193">
        <v>8830.49</v>
      </c>
    </row>
    <row r="1111" spans="1:16" x14ac:dyDescent="0.25">
      <c r="A1111" s="190">
        <v>801010402</v>
      </c>
      <c r="B1111" s="190" t="s">
        <v>429</v>
      </c>
      <c r="C1111" s="190">
        <v>3611</v>
      </c>
      <c r="D1111" s="190" t="s">
        <v>408</v>
      </c>
      <c r="E1111" s="191">
        <v>0</v>
      </c>
      <c r="F1111" s="191">
        <v>0</v>
      </c>
      <c r="G1111" s="191">
        <v>0</v>
      </c>
      <c r="H1111" s="191">
        <v>0</v>
      </c>
      <c r="I1111" s="191">
        <v>371.2</v>
      </c>
      <c r="J1111" s="193">
        <v>6446.35</v>
      </c>
      <c r="K1111" s="193">
        <v>2799.78</v>
      </c>
      <c r="L1111" s="193">
        <v>3176.74</v>
      </c>
      <c r="M1111" s="191">
        <v>0</v>
      </c>
      <c r="N1111" s="191">
        <v>0</v>
      </c>
      <c r="O1111" s="191">
        <v>0</v>
      </c>
      <c r="P1111" s="193">
        <v>8830.49</v>
      </c>
    </row>
    <row r="1112" spans="1:16" x14ac:dyDescent="0.25">
      <c r="A1112" s="190">
        <v>801010402</v>
      </c>
      <c r="B1112" s="190" t="s">
        <v>430</v>
      </c>
      <c r="C1112" s="190">
        <v>3611</v>
      </c>
      <c r="D1112" s="190" t="s">
        <v>408</v>
      </c>
      <c r="E1112" s="191">
        <v>0</v>
      </c>
      <c r="F1112" s="191">
        <v>0</v>
      </c>
      <c r="G1112" s="191">
        <v>0</v>
      </c>
      <c r="H1112" s="191">
        <v>0</v>
      </c>
      <c r="I1112" s="191">
        <v>371.2</v>
      </c>
      <c r="J1112" s="193">
        <v>6446.35</v>
      </c>
      <c r="K1112" s="193">
        <v>2799.78</v>
      </c>
      <c r="L1112" s="193">
        <v>3176.74</v>
      </c>
      <c r="M1112" s="191">
        <v>0</v>
      </c>
      <c r="N1112" s="191">
        <v>0</v>
      </c>
      <c r="O1112" s="191">
        <v>0</v>
      </c>
      <c r="P1112" s="193">
        <v>8830.49</v>
      </c>
    </row>
    <row r="1113" spans="1:16" x14ac:dyDescent="0.25">
      <c r="A1113" s="190">
        <v>801010402</v>
      </c>
      <c r="B1113" s="190" t="s">
        <v>431</v>
      </c>
      <c r="C1113" s="190">
        <v>3611</v>
      </c>
      <c r="D1113" s="190" t="s">
        <v>408</v>
      </c>
      <c r="E1113" s="191">
        <v>0</v>
      </c>
      <c r="F1113" s="191">
        <v>0</v>
      </c>
      <c r="G1113" s="193">
        <v>1705.2</v>
      </c>
      <c r="H1113" s="191">
        <v>0</v>
      </c>
      <c r="I1113" s="191">
        <v>371.2</v>
      </c>
      <c r="J1113" s="193">
        <v>6446.35</v>
      </c>
      <c r="K1113" s="193">
        <v>2799.78</v>
      </c>
      <c r="L1113" s="193">
        <v>3176.74</v>
      </c>
      <c r="M1113" s="191">
        <v>0</v>
      </c>
      <c r="N1113" s="191">
        <v>0</v>
      </c>
      <c r="O1113" s="191">
        <v>0</v>
      </c>
      <c r="P1113" s="193">
        <v>8830.49</v>
      </c>
    </row>
    <row r="1114" spans="1:16" x14ac:dyDescent="0.25">
      <c r="A1114" s="190">
        <v>801010402</v>
      </c>
      <c r="B1114" s="190" t="s">
        <v>432</v>
      </c>
      <c r="C1114" s="190">
        <v>3611</v>
      </c>
      <c r="D1114" s="190" t="s">
        <v>408</v>
      </c>
      <c r="E1114" s="191">
        <v>0</v>
      </c>
      <c r="F1114" s="191">
        <v>0</v>
      </c>
      <c r="G1114" s="191">
        <v>0</v>
      </c>
      <c r="H1114" s="191">
        <v>0</v>
      </c>
      <c r="I1114" s="191">
        <v>371.2</v>
      </c>
      <c r="J1114" s="193">
        <v>6446.35</v>
      </c>
      <c r="K1114" s="193">
        <v>2799.78</v>
      </c>
      <c r="L1114" s="193">
        <v>3176.74</v>
      </c>
      <c r="M1114" s="191">
        <v>0</v>
      </c>
      <c r="N1114" s="191">
        <v>0</v>
      </c>
      <c r="O1114" s="191">
        <v>0</v>
      </c>
      <c r="P1114" s="193">
        <v>8830.49</v>
      </c>
    </row>
    <row r="1115" spans="1:16" x14ac:dyDescent="0.25">
      <c r="A1115" s="190">
        <v>801010402</v>
      </c>
      <c r="B1115" s="190" t="s">
        <v>433</v>
      </c>
      <c r="C1115" s="190">
        <v>3611</v>
      </c>
      <c r="D1115" s="190" t="s">
        <v>408</v>
      </c>
      <c r="E1115" s="191">
        <v>0</v>
      </c>
      <c r="F1115" s="191">
        <v>0</v>
      </c>
      <c r="G1115" s="191">
        <v>0</v>
      </c>
      <c r="H1115" s="191">
        <v>0</v>
      </c>
      <c r="I1115" s="191">
        <v>371.2</v>
      </c>
      <c r="J1115" s="193">
        <v>6446.35</v>
      </c>
      <c r="K1115" s="193">
        <v>2799.78</v>
      </c>
      <c r="L1115" s="193">
        <v>3176.74</v>
      </c>
      <c r="M1115" s="191">
        <v>0</v>
      </c>
      <c r="N1115" s="191">
        <v>0</v>
      </c>
      <c r="O1115" s="191">
        <v>0</v>
      </c>
      <c r="P1115" s="193">
        <v>8830.49</v>
      </c>
    </row>
    <row r="1116" spans="1:16" x14ac:dyDescent="0.25">
      <c r="A1116" s="190">
        <v>801010402</v>
      </c>
      <c r="B1116" s="190" t="s">
        <v>434</v>
      </c>
      <c r="C1116" s="190">
        <v>3611</v>
      </c>
      <c r="D1116" s="190" t="s">
        <v>408</v>
      </c>
      <c r="E1116" s="191">
        <v>0</v>
      </c>
      <c r="F1116" s="191">
        <v>0</v>
      </c>
      <c r="G1116" s="191">
        <v>0</v>
      </c>
      <c r="H1116" s="191">
        <v>0</v>
      </c>
      <c r="I1116" s="191">
        <v>371.2</v>
      </c>
      <c r="J1116" s="193">
        <v>6446.35</v>
      </c>
      <c r="K1116" s="193">
        <v>2799.78</v>
      </c>
      <c r="L1116" s="193">
        <v>3176.74</v>
      </c>
      <c r="M1116" s="191">
        <v>0</v>
      </c>
      <c r="N1116" s="191">
        <v>0</v>
      </c>
      <c r="O1116" s="191">
        <v>0</v>
      </c>
      <c r="P1116" s="193">
        <v>8830.49</v>
      </c>
    </row>
    <row r="1117" spans="1:16" x14ac:dyDescent="0.25">
      <c r="A1117" s="190">
        <v>801010402</v>
      </c>
      <c r="B1117" s="190" t="s">
        <v>435</v>
      </c>
      <c r="C1117" s="190">
        <v>3611</v>
      </c>
      <c r="D1117" s="190" t="s">
        <v>408</v>
      </c>
      <c r="E1117" s="191">
        <v>0</v>
      </c>
      <c r="F1117" s="191">
        <v>0</v>
      </c>
      <c r="G1117" s="191">
        <v>0</v>
      </c>
      <c r="H1117" s="191">
        <v>0</v>
      </c>
      <c r="I1117" s="191">
        <v>371.2</v>
      </c>
      <c r="J1117" s="193">
        <v>6446.35</v>
      </c>
      <c r="K1117" s="193">
        <v>2799.78</v>
      </c>
      <c r="L1117" s="193">
        <v>3555.97</v>
      </c>
      <c r="M1117" s="191">
        <v>0</v>
      </c>
      <c r="N1117" s="191">
        <v>0</v>
      </c>
      <c r="O1117" s="191">
        <v>0</v>
      </c>
      <c r="P1117" s="193">
        <v>8830.49</v>
      </c>
    </row>
    <row r="1118" spans="1:16" x14ac:dyDescent="0.25">
      <c r="A1118" s="190">
        <v>801010402</v>
      </c>
      <c r="B1118" s="190" t="s">
        <v>436</v>
      </c>
      <c r="C1118" s="190">
        <v>3611</v>
      </c>
      <c r="D1118" s="190" t="s">
        <v>408</v>
      </c>
      <c r="E1118" s="191">
        <v>0</v>
      </c>
      <c r="F1118" s="191">
        <v>0</v>
      </c>
      <c r="G1118" s="191">
        <v>0</v>
      </c>
      <c r="H1118" s="191">
        <v>0</v>
      </c>
      <c r="I1118" s="191">
        <v>371.2</v>
      </c>
      <c r="J1118" s="193">
        <v>6446.35</v>
      </c>
      <c r="K1118" s="193">
        <v>4365.78</v>
      </c>
      <c r="L1118" s="193">
        <v>5728.74</v>
      </c>
      <c r="M1118" s="191">
        <v>0</v>
      </c>
      <c r="N1118" s="191">
        <v>0</v>
      </c>
      <c r="O1118" s="191">
        <v>0</v>
      </c>
      <c r="P1118" s="193">
        <v>8830.49</v>
      </c>
    </row>
    <row r="1119" spans="1:16" x14ac:dyDescent="0.25">
      <c r="A1119" s="190">
        <v>801010402</v>
      </c>
      <c r="B1119" s="190" t="s">
        <v>437</v>
      </c>
      <c r="C1119" s="190">
        <v>3611</v>
      </c>
      <c r="D1119" s="190" t="s">
        <v>408</v>
      </c>
      <c r="E1119" s="191">
        <v>0</v>
      </c>
      <c r="F1119" s="191">
        <v>0</v>
      </c>
      <c r="G1119" s="191">
        <v>0</v>
      </c>
      <c r="H1119" s="191">
        <v>0</v>
      </c>
      <c r="I1119" s="191">
        <v>0</v>
      </c>
      <c r="J1119" s="193">
        <v>4358.7</v>
      </c>
      <c r="K1119" s="191">
        <v>0</v>
      </c>
      <c r="L1119" s="191">
        <v>0</v>
      </c>
      <c r="M1119" s="191">
        <v>0</v>
      </c>
      <c r="N1119" s="191">
        <v>0</v>
      </c>
      <c r="O1119" s="191">
        <v>0</v>
      </c>
      <c r="P1119" s="191">
        <v>0</v>
      </c>
    </row>
    <row r="1120" spans="1:16" x14ac:dyDescent="0.25">
      <c r="A1120" s="190">
        <v>801010402</v>
      </c>
      <c r="B1120" s="190" t="s">
        <v>407</v>
      </c>
      <c r="C1120" s="190">
        <v>3612</v>
      </c>
      <c r="D1120" s="190" t="s">
        <v>408</v>
      </c>
      <c r="E1120" s="191">
        <v>0</v>
      </c>
      <c r="F1120" s="191">
        <v>215.72</v>
      </c>
      <c r="G1120" s="191">
        <v>0</v>
      </c>
      <c r="H1120" s="193">
        <v>1153.6199999999999</v>
      </c>
      <c r="I1120" s="191">
        <v>0</v>
      </c>
      <c r="J1120" s="191">
        <v>0</v>
      </c>
      <c r="K1120" s="191">
        <v>0</v>
      </c>
      <c r="L1120" s="193">
        <v>1153.6199999999999</v>
      </c>
      <c r="M1120" s="191">
        <v>0</v>
      </c>
      <c r="N1120" s="191">
        <v>0</v>
      </c>
      <c r="O1120" s="193">
        <v>18850</v>
      </c>
      <c r="P1120" s="191">
        <v>0</v>
      </c>
    </row>
    <row r="1121" spans="1:16" x14ac:dyDescent="0.25">
      <c r="A1121" s="190">
        <v>801010402</v>
      </c>
      <c r="B1121" s="190" t="s">
        <v>410</v>
      </c>
      <c r="C1121" s="190">
        <v>3612</v>
      </c>
      <c r="D1121" s="190" t="s">
        <v>408</v>
      </c>
      <c r="E1121" s="191">
        <v>0</v>
      </c>
      <c r="F1121" s="191">
        <v>215.72</v>
      </c>
      <c r="G1121" s="191">
        <v>0</v>
      </c>
      <c r="H1121" s="191">
        <v>0</v>
      </c>
      <c r="I1121" s="191">
        <v>0</v>
      </c>
      <c r="J1121" s="191">
        <v>0</v>
      </c>
      <c r="K1121" s="191">
        <v>0</v>
      </c>
      <c r="L1121" s="191">
        <v>0</v>
      </c>
      <c r="M1121" s="191">
        <v>0</v>
      </c>
      <c r="N1121" s="191">
        <v>0</v>
      </c>
      <c r="O1121" s="191">
        <v>0</v>
      </c>
      <c r="P1121" s="191">
        <v>0</v>
      </c>
    </row>
    <row r="1122" spans="1:16" x14ac:dyDescent="0.25">
      <c r="A1122" s="190">
        <v>801010402</v>
      </c>
      <c r="B1122" s="190" t="s">
        <v>411</v>
      </c>
      <c r="C1122" s="190">
        <v>3612</v>
      </c>
      <c r="D1122" s="190" t="s">
        <v>408</v>
      </c>
      <c r="E1122" s="191">
        <v>0</v>
      </c>
      <c r="F1122" s="191">
        <v>215.72</v>
      </c>
      <c r="G1122" s="191">
        <v>0</v>
      </c>
      <c r="H1122" s="191">
        <v>0</v>
      </c>
      <c r="I1122" s="191">
        <v>0</v>
      </c>
      <c r="J1122" s="191">
        <v>0</v>
      </c>
      <c r="K1122" s="191">
        <v>0</v>
      </c>
      <c r="L1122" s="191">
        <v>0</v>
      </c>
      <c r="M1122" s="191">
        <v>0</v>
      </c>
      <c r="N1122" s="191">
        <v>0</v>
      </c>
      <c r="O1122" s="191">
        <v>0</v>
      </c>
      <c r="P1122" s="191">
        <v>0</v>
      </c>
    </row>
    <row r="1123" spans="1:16" x14ac:dyDescent="0.25">
      <c r="A1123" s="190">
        <v>801010402</v>
      </c>
      <c r="B1123" s="190" t="s">
        <v>412</v>
      </c>
      <c r="C1123" s="190">
        <v>3612</v>
      </c>
      <c r="D1123" s="190" t="s">
        <v>408</v>
      </c>
      <c r="E1123" s="191">
        <v>0</v>
      </c>
      <c r="F1123" s="191">
        <v>215.72</v>
      </c>
      <c r="G1123" s="191">
        <v>0</v>
      </c>
      <c r="H1123" s="191">
        <v>0</v>
      </c>
      <c r="I1123" s="191">
        <v>0</v>
      </c>
      <c r="J1123" s="191">
        <v>0</v>
      </c>
      <c r="K1123" s="191">
        <v>0</v>
      </c>
      <c r="L1123" s="191">
        <v>0</v>
      </c>
      <c r="M1123" s="191">
        <v>0</v>
      </c>
      <c r="N1123" s="191">
        <v>0</v>
      </c>
      <c r="O1123" s="191">
        <v>0</v>
      </c>
      <c r="P1123" s="191">
        <v>0</v>
      </c>
    </row>
    <row r="1124" spans="1:16" x14ac:dyDescent="0.25">
      <c r="A1124" s="190">
        <v>801010402</v>
      </c>
      <c r="B1124" s="190" t="s">
        <v>413</v>
      </c>
      <c r="C1124" s="190">
        <v>3612</v>
      </c>
      <c r="D1124" s="190" t="s">
        <v>408</v>
      </c>
      <c r="E1124" s="191">
        <v>0</v>
      </c>
      <c r="F1124" s="191">
        <v>215.72</v>
      </c>
      <c r="G1124" s="191">
        <v>0</v>
      </c>
      <c r="H1124" s="191">
        <v>0</v>
      </c>
      <c r="I1124" s="191">
        <v>0</v>
      </c>
      <c r="J1124" s="191">
        <v>0</v>
      </c>
      <c r="K1124" s="191">
        <v>0</v>
      </c>
      <c r="L1124" s="191">
        <v>0</v>
      </c>
      <c r="M1124" s="191">
        <v>0</v>
      </c>
      <c r="N1124" s="191">
        <v>0</v>
      </c>
      <c r="O1124" s="191">
        <v>0</v>
      </c>
      <c r="P1124" s="191">
        <v>0</v>
      </c>
    </row>
    <row r="1125" spans="1:16" x14ac:dyDescent="0.25">
      <c r="A1125" s="190">
        <v>801010402</v>
      </c>
      <c r="B1125" s="190" t="s">
        <v>414</v>
      </c>
      <c r="C1125" s="190">
        <v>3612</v>
      </c>
      <c r="D1125" s="190" t="s">
        <v>408</v>
      </c>
      <c r="E1125" s="191">
        <v>0</v>
      </c>
      <c r="F1125" s="191">
        <v>215.72</v>
      </c>
      <c r="G1125" s="191">
        <v>0</v>
      </c>
      <c r="H1125" s="191">
        <v>0</v>
      </c>
      <c r="I1125" s="191">
        <v>0</v>
      </c>
      <c r="J1125" s="191">
        <v>0</v>
      </c>
      <c r="K1125" s="191">
        <v>0</v>
      </c>
      <c r="L1125" s="191">
        <v>0</v>
      </c>
      <c r="M1125" s="191">
        <v>0</v>
      </c>
      <c r="N1125" s="191">
        <v>0</v>
      </c>
      <c r="O1125" s="191">
        <v>0</v>
      </c>
      <c r="P1125" s="191">
        <v>0</v>
      </c>
    </row>
    <row r="1126" spans="1:16" x14ac:dyDescent="0.25">
      <c r="A1126" s="190">
        <v>801010402</v>
      </c>
      <c r="B1126" s="190" t="s">
        <v>415</v>
      </c>
      <c r="C1126" s="190">
        <v>3612</v>
      </c>
      <c r="D1126" s="190" t="s">
        <v>408</v>
      </c>
      <c r="E1126" s="191">
        <v>0</v>
      </c>
      <c r="F1126" s="191">
        <v>215.72</v>
      </c>
      <c r="G1126" s="191">
        <v>0</v>
      </c>
      <c r="H1126" s="191">
        <v>0</v>
      </c>
      <c r="I1126" s="191">
        <v>0</v>
      </c>
      <c r="J1126" s="191">
        <v>0</v>
      </c>
      <c r="K1126" s="191">
        <v>0</v>
      </c>
      <c r="L1126" s="191">
        <v>0</v>
      </c>
      <c r="M1126" s="191">
        <v>0</v>
      </c>
      <c r="N1126" s="191">
        <v>0</v>
      </c>
      <c r="O1126" s="191">
        <v>0</v>
      </c>
      <c r="P1126" s="191">
        <v>0</v>
      </c>
    </row>
    <row r="1127" spans="1:16" x14ac:dyDescent="0.25">
      <c r="A1127" s="190">
        <v>801010402</v>
      </c>
      <c r="B1127" s="190" t="s">
        <v>416</v>
      </c>
      <c r="C1127" s="190">
        <v>3612</v>
      </c>
      <c r="D1127" s="190" t="s">
        <v>408</v>
      </c>
      <c r="E1127" s="191">
        <v>0</v>
      </c>
      <c r="F1127" s="191">
        <v>215.72</v>
      </c>
      <c r="G1127" s="191">
        <v>0</v>
      </c>
      <c r="H1127" s="191">
        <v>0</v>
      </c>
      <c r="I1127" s="191">
        <v>0</v>
      </c>
      <c r="J1127" s="191">
        <v>0</v>
      </c>
      <c r="K1127" s="191">
        <v>0</v>
      </c>
      <c r="L1127" s="191">
        <v>0</v>
      </c>
      <c r="M1127" s="191">
        <v>0</v>
      </c>
      <c r="N1127" s="191">
        <v>0</v>
      </c>
      <c r="O1127" s="191">
        <v>0</v>
      </c>
      <c r="P1127" s="191">
        <v>0</v>
      </c>
    </row>
    <row r="1128" spans="1:16" x14ac:dyDescent="0.25">
      <c r="A1128" s="190">
        <v>801010402</v>
      </c>
      <c r="B1128" s="190" t="s">
        <v>417</v>
      </c>
      <c r="C1128" s="190">
        <v>3612</v>
      </c>
      <c r="D1128" s="190" t="s">
        <v>408</v>
      </c>
      <c r="E1128" s="191">
        <v>0</v>
      </c>
      <c r="F1128" s="191">
        <v>215.72</v>
      </c>
      <c r="G1128" s="191">
        <v>0</v>
      </c>
      <c r="H1128" s="191">
        <v>0</v>
      </c>
      <c r="I1128" s="191">
        <v>0</v>
      </c>
      <c r="J1128" s="191">
        <v>0</v>
      </c>
      <c r="K1128" s="191">
        <v>0</v>
      </c>
      <c r="L1128" s="191">
        <v>0</v>
      </c>
      <c r="M1128" s="191">
        <v>0</v>
      </c>
      <c r="N1128" s="191">
        <v>0</v>
      </c>
      <c r="O1128" s="191">
        <v>0</v>
      </c>
      <c r="P1128" s="191">
        <v>0</v>
      </c>
    </row>
    <row r="1129" spans="1:16" x14ac:dyDescent="0.25">
      <c r="A1129" s="190">
        <v>801010402</v>
      </c>
      <c r="B1129" s="190" t="s">
        <v>419</v>
      </c>
      <c r="C1129" s="190">
        <v>3612</v>
      </c>
      <c r="D1129" s="190" t="s">
        <v>408</v>
      </c>
      <c r="E1129" s="191">
        <v>0</v>
      </c>
      <c r="F1129" s="191">
        <v>215.72</v>
      </c>
      <c r="G1129" s="191">
        <v>0</v>
      </c>
      <c r="H1129" s="191">
        <v>0</v>
      </c>
      <c r="I1129" s="191">
        <v>0</v>
      </c>
      <c r="J1129" s="191">
        <v>0</v>
      </c>
      <c r="K1129" s="191">
        <v>0</v>
      </c>
      <c r="L1129" s="191">
        <v>0</v>
      </c>
      <c r="M1129" s="191">
        <v>0</v>
      </c>
      <c r="N1129" s="191">
        <v>0</v>
      </c>
      <c r="O1129" s="191">
        <v>0</v>
      </c>
      <c r="P1129" s="191">
        <v>0</v>
      </c>
    </row>
    <row r="1130" spans="1:16" x14ac:dyDescent="0.25">
      <c r="A1130" s="190">
        <v>801010402</v>
      </c>
      <c r="B1130" s="190" t="s">
        <v>420</v>
      </c>
      <c r="C1130" s="190">
        <v>3612</v>
      </c>
      <c r="D1130" s="190" t="s">
        <v>408</v>
      </c>
      <c r="E1130" s="191">
        <v>0</v>
      </c>
      <c r="F1130" s="191">
        <v>215.72</v>
      </c>
      <c r="G1130" s="191">
        <v>0</v>
      </c>
      <c r="H1130" s="191">
        <v>0</v>
      </c>
      <c r="I1130" s="191">
        <v>0</v>
      </c>
      <c r="J1130" s="191">
        <v>0</v>
      </c>
      <c r="K1130" s="191">
        <v>0</v>
      </c>
      <c r="L1130" s="191">
        <v>0</v>
      </c>
      <c r="M1130" s="191">
        <v>0</v>
      </c>
      <c r="N1130" s="191">
        <v>0</v>
      </c>
      <c r="O1130" s="191">
        <v>0</v>
      </c>
      <c r="P1130" s="191">
        <v>0</v>
      </c>
    </row>
    <row r="1131" spans="1:16" x14ac:dyDescent="0.25">
      <c r="A1131" s="190">
        <v>801010402</v>
      </c>
      <c r="B1131" s="190" t="s">
        <v>421</v>
      </c>
      <c r="C1131" s="190">
        <v>3612</v>
      </c>
      <c r="D1131" s="190" t="s">
        <v>408</v>
      </c>
      <c r="E1131" s="191">
        <v>0</v>
      </c>
      <c r="F1131" s="191">
        <v>215.72</v>
      </c>
      <c r="G1131" s="191">
        <v>0</v>
      </c>
      <c r="H1131" s="191">
        <v>0</v>
      </c>
      <c r="I1131" s="191">
        <v>0</v>
      </c>
      <c r="J1131" s="191">
        <v>0</v>
      </c>
      <c r="K1131" s="191">
        <v>0</v>
      </c>
      <c r="L1131" s="191">
        <v>0</v>
      </c>
      <c r="M1131" s="191">
        <v>0</v>
      </c>
      <c r="N1131" s="191">
        <v>0</v>
      </c>
      <c r="O1131" s="191">
        <v>0</v>
      </c>
      <c r="P1131" s="191">
        <v>0</v>
      </c>
    </row>
    <row r="1132" spans="1:16" x14ac:dyDescent="0.25">
      <c r="A1132" s="190">
        <v>801010402</v>
      </c>
      <c r="B1132" s="190" t="s">
        <v>422</v>
      </c>
      <c r="C1132" s="190">
        <v>3612</v>
      </c>
      <c r="D1132" s="190" t="s">
        <v>408</v>
      </c>
      <c r="E1132" s="191">
        <v>0</v>
      </c>
      <c r="F1132" s="191">
        <v>215.72</v>
      </c>
      <c r="G1132" s="191">
        <v>0</v>
      </c>
      <c r="H1132" s="191">
        <v>0</v>
      </c>
      <c r="I1132" s="191">
        <v>0</v>
      </c>
      <c r="J1132" s="191">
        <v>0</v>
      </c>
      <c r="K1132" s="191">
        <v>0</v>
      </c>
      <c r="L1132" s="191">
        <v>0</v>
      </c>
      <c r="M1132" s="191">
        <v>0</v>
      </c>
      <c r="N1132" s="191">
        <v>0</v>
      </c>
      <c r="O1132" s="191">
        <v>0</v>
      </c>
      <c r="P1132" s="191">
        <v>0</v>
      </c>
    </row>
    <row r="1133" spans="1:16" x14ac:dyDescent="0.25">
      <c r="A1133" s="190">
        <v>801010402</v>
      </c>
      <c r="B1133" s="190" t="s">
        <v>423</v>
      </c>
      <c r="C1133" s="190">
        <v>3612</v>
      </c>
      <c r="D1133" s="190" t="s">
        <v>408</v>
      </c>
      <c r="E1133" s="191">
        <v>0</v>
      </c>
      <c r="F1133" s="191">
        <v>215.72</v>
      </c>
      <c r="G1133" s="191">
        <v>0</v>
      </c>
      <c r="H1133" s="191">
        <v>0</v>
      </c>
      <c r="I1133" s="191">
        <v>0</v>
      </c>
      <c r="J1133" s="191">
        <v>0</v>
      </c>
      <c r="K1133" s="191">
        <v>0</v>
      </c>
      <c r="L1133" s="191">
        <v>0</v>
      </c>
      <c r="M1133" s="191">
        <v>0</v>
      </c>
      <c r="N1133" s="191">
        <v>0</v>
      </c>
      <c r="O1133" s="191">
        <v>0</v>
      </c>
      <c r="P1133" s="191">
        <v>0</v>
      </c>
    </row>
    <row r="1134" spans="1:16" x14ac:dyDescent="0.25">
      <c r="A1134" s="190">
        <v>801010402</v>
      </c>
      <c r="B1134" s="190" t="s">
        <v>424</v>
      </c>
      <c r="C1134" s="190">
        <v>3612</v>
      </c>
      <c r="D1134" s="190" t="s">
        <v>408</v>
      </c>
      <c r="E1134" s="191">
        <v>0</v>
      </c>
      <c r="F1134" s="191">
        <v>215.72</v>
      </c>
      <c r="G1134" s="191">
        <v>0</v>
      </c>
      <c r="H1134" s="191">
        <v>0</v>
      </c>
      <c r="I1134" s="191">
        <v>0</v>
      </c>
      <c r="J1134" s="191">
        <v>0</v>
      </c>
      <c r="K1134" s="191">
        <v>0</v>
      </c>
      <c r="L1134" s="191">
        <v>0</v>
      </c>
      <c r="M1134" s="191">
        <v>0</v>
      </c>
      <c r="N1134" s="191">
        <v>0</v>
      </c>
      <c r="O1134" s="191">
        <v>0</v>
      </c>
      <c r="P1134" s="191">
        <v>0</v>
      </c>
    </row>
    <row r="1135" spans="1:16" x14ac:dyDescent="0.25">
      <c r="A1135" s="190">
        <v>801010402</v>
      </c>
      <c r="B1135" s="190" t="s">
        <v>425</v>
      </c>
      <c r="C1135" s="190">
        <v>3612</v>
      </c>
      <c r="D1135" s="190" t="s">
        <v>408</v>
      </c>
      <c r="E1135" s="191">
        <v>0</v>
      </c>
      <c r="F1135" s="191">
        <v>215.72</v>
      </c>
      <c r="G1135" s="191">
        <v>0</v>
      </c>
      <c r="H1135" s="191">
        <v>0</v>
      </c>
      <c r="I1135" s="191">
        <v>0</v>
      </c>
      <c r="J1135" s="191">
        <v>0</v>
      </c>
      <c r="K1135" s="191">
        <v>0</v>
      </c>
      <c r="L1135" s="191">
        <v>0</v>
      </c>
      <c r="M1135" s="191">
        <v>0</v>
      </c>
      <c r="N1135" s="191">
        <v>0</v>
      </c>
      <c r="O1135" s="191">
        <v>0</v>
      </c>
      <c r="P1135" s="191">
        <v>0</v>
      </c>
    </row>
    <row r="1136" spans="1:16" x14ac:dyDescent="0.25">
      <c r="A1136" s="190">
        <v>801010402</v>
      </c>
      <c r="B1136" s="190" t="s">
        <v>426</v>
      </c>
      <c r="C1136" s="190">
        <v>3612</v>
      </c>
      <c r="D1136" s="190" t="s">
        <v>408</v>
      </c>
      <c r="E1136" s="191">
        <v>0</v>
      </c>
      <c r="F1136" s="191">
        <v>215.72</v>
      </c>
      <c r="G1136" s="191">
        <v>0</v>
      </c>
      <c r="H1136" s="191">
        <v>0</v>
      </c>
      <c r="I1136" s="191">
        <v>0</v>
      </c>
      <c r="J1136" s="191">
        <v>0</v>
      </c>
      <c r="K1136" s="191">
        <v>0</v>
      </c>
      <c r="L1136" s="191">
        <v>0</v>
      </c>
      <c r="M1136" s="191">
        <v>0</v>
      </c>
      <c r="N1136" s="191">
        <v>0</v>
      </c>
      <c r="O1136" s="191">
        <v>0</v>
      </c>
      <c r="P1136" s="191">
        <v>0</v>
      </c>
    </row>
    <row r="1137" spans="1:16" x14ac:dyDescent="0.25">
      <c r="A1137" s="190">
        <v>801010402</v>
      </c>
      <c r="B1137" s="190" t="s">
        <v>427</v>
      </c>
      <c r="C1137" s="190">
        <v>3612</v>
      </c>
      <c r="D1137" s="190" t="s">
        <v>408</v>
      </c>
      <c r="E1137" s="191">
        <v>0</v>
      </c>
      <c r="F1137" s="191">
        <v>215.72</v>
      </c>
      <c r="G1137" s="191">
        <v>0</v>
      </c>
      <c r="H1137" s="191">
        <v>0</v>
      </c>
      <c r="I1137" s="191">
        <v>0</v>
      </c>
      <c r="J1137" s="191">
        <v>0</v>
      </c>
      <c r="K1137" s="191">
        <v>0</v>
      </c>
      <c r="L1137" s="191">
        <v>0</v>
      </c>
      <c r="M1137" s="191">
        <v>0</v>
      </c>
      <c r="N1137" s="191">
        <v>0</v>
      </c>
      <c r="O1137" s="191">
        <v>0</v>
      </c>
      <c r="P1137" s="191">
        <v>0</v>
      </c>
    </row>
    <row r="1138" spans="1:16" x14ac:dyDescent="0.25">
      <c r="A1138" s="190">
        <v>801010402</v>
      </c>
      <c r="B1138" s="190" t="s">
        <v>428</v>
      </c>
      <c r="C1138" s="190">
        <v>3612</v>
      </c>
      <c r="D1138" s="190" t="s">
        <v>408</v>
      </c>
      <c r="E1138" s="191">
        <v>0</v>
      </c>
      <c r="F1138" s="191">
        <v>215.72</v>
      </c>
      <c r="G1138" s="191">
        <v>0</v>
      </c>
      <c r="H1138" s="191">
        <v>0</v>
      </c>
      <c r="I1138" s="191">
        <v>0</v>
      </c>
      <c r="J1138" s="191">
        <v>0</v>
      </c>
      <c r="K1138" s="191">
        <v>0</v>
      </c>
      <c r="L1138" s="191">
        <v>0</v>
      </c>
      <c r="M1138" s="191">
        <v>0</v>
      </c>
      <c r="N1138" s="191">
        <v>0</v>
      </c>
      <c r="O1138" s="191">
        <v>0</v>
      </c>
      <c r="P1138" s="191">
        <v>0</v>
      </c>
    </row>
    <row r="1139" spans="1:16" x14ac:dyDescent="0.25">
      <c r="A1139" s="190">
        <v>801010402</v>
      </c>
      <c r="B1139" s="190" t="s">
        <v>429</v>
      </c>
      <c r="C1139" s="190">
        <v>3612</v>
      </c>
      <c r="D1139" s="190" t="s">
        <v>408</v>
      </c>
      <c r="E1139" s="191">
        <v>0</v>
      </c>
      <c r="F1139" s="191">
        <v>215.72</v>
      </c>
      <c r="G1139" s="191">
        <v>0</v>
      </c>
      <c r="H1139" s="191">
        <v>0</v>
      </c>
      <c r="I1139" s="191">
        <v>0</v>
      </c>
      <c r="J1139" s="191">
        <v>0</v>
      </c>
      <c r="K1139" s="191">
        <v>0</v>
      </c>
      <c r="L1139" s="191">
        <v>0</v>
      </c>
      <c r="M1139" s="191">
        <v>0</v>
      </c>
      <c r="N1139" s="191">
        <v>0</v>
      </c>
      <c r="O1139" s="191">
        <v>0</v>
      </c>
      <c r="P1139" s="191">
        <v>0</v>
      </c>
    </row>
    <row r="1140" spans="1:16" x14ac:dyDescent="0.25">
      <c r="A1140" s="190">
        <v>801010402</v>
      </c>
      <c r="B1140" s="190" t="s">
        <v>430</v>
      </c>
      <c r="C1140" s="190">
        <v>3612</v>
      </c>
      <c r="D1140" s="190" t="s">
        <v>408</v>
      </c>
      <c r="E1140" s="191">
        <v>0</v>
      </c>
      <c r="F1140" s="191">
        <v>215.72</v>
      </c>
      <c r="G1140" s="191">
        <v>0</v>
      </c>
      <c r="H1140" s="191">
        <v>0</v>
      </c>
      <c r="I1140" s="191">
        <v>0</v>
      </c>
      <c r="J1140" s="191">
        <v>0</v>
      </c>
      <c r="K1140" s="191">
        <v>0</v>
      </c>
      <c r="L1140" s="191">
        <v>0</v>
      </c>
      <c r="M1140" s="191">
        <v>0</v>
      </c>
      <c r="N1140" s="191">
        <v>0</v>
      </c>
      <c r="O1140" s="191">
        <v>0</v>
      </c>
      <c r="P1140" s="191">
        <v>0</v>
      </c>
    </row>
    <row r="1141" spans="1:16" x14ac:dyDescent="0.25">
      <c r="A1141" s="190">
        <v>801010402</v>
      </c>
      <c r="B1141" s="190" t="s">
        <v>431</v>
      </c>
      <c r="C1141" s="190">
        <v>3612</v>
      </c>
      <c r="D1141" s="190" t="s">
        <v>408</v>
      </c>
      <c r="E1141" s="191">
        <v>0</v>
      </c>
      <c r="F1141" s="191">
        <v>215.72</v>
      </c>
      <c r="G1141" s="191">
        <v>0</v>
      </c>
      <c r="H1141" s="191">
        <v>0</v>
      </c>
      <c r="I1141" s="191">
        <v>0</v>
      </c>
      <c r="J1141" s="191">
        <v>0</v>
      </c>
      <c r="K1141" s="191">
        <v>0</v>
      </c>
      <c r="L1141" s="191">
        <v>0</v>
      </c>
      <c r="M1141" s="191">
        <v>0</v>
      </c>
      <c r="N1141" s="191">
        <v>0</v>
      </c>
      <c r="O1141" s="191">
        <v>0</v>
      </c>
      <c r="P1141" s="191">
        <v>0</v>
      </c>
    </row>
    <row r="1142" spans="1:16" x14ac:dyDescent="0.25">
      <c r="A1142" s="190">
        <v>801010402</v>
      </c>
      <c r="B1142" s="190" t="s">
        <v>432</v>
      </c>
      <c r="C1142" s="190">
        <v>3612</v>
      </c>
      <c r="D1142" s="190" t="s">
        <v>408</v>
      </c>
      <c r="E1142" s="191">
        <v>0</v>
      </c>
      <c r="F1142" s="191">
        <v>215.72</v>
      </c>
      <c r="G1142" s="191">
        <v>0</v>
      </c>
      <c r="H1142" s="191">
        <v>0</v>
      </c>
      <c r="I1142" s="191">
        <v>0</v>
      </c>
      <c r="J1142" s="191">
        <v>0</v>
      </c>
      <c r="K1142" s="191">
        <v>0</v>
      </c>
      <c r="L1142" s="191">
        <v>0</v>
      </c>
      <c r="M1142" s="191">
        <v>0</v>
      </c>
      <c r="N1142" s="191">
        <v>0</v>
      </c>
      <c r="O1142" s="191">
        <v>0</v>
      </c>
      <c r="P1142" s="191">
        <v>0</v>
      </c>
    </row>
    <row r="1143" spans="1:16" x14ac:dyDescent="0.25">
      <c r="A1143" s="190">
        <v>801010402</v>
      </c>
      <c r="B1143" s="190" t="s">
        <v>433</v>
      </c>
      <c r="C1143" s="190">
        <v>3612</v>
      </c>
      <c r="D1143" s="190" t="s">
        <v>408</v>
      </c>
      <c r="E1143" s="191">
        <v>0</v>
      </c>
      <c r="F1143" s="191">
        <v>215.72</v>
      </c>
      <c r="G1143" s="191">
        <v>0</v>
      </c>
      <c r="H1143" s="191">
        <v>0</v>
      </c>
      <c r="I1143" s="191">
        <v>0</v>
      </c>
      <c r="J1143" s="191">
        <v>0</v>
      </c>
      <c r="K1143" s="191">
        <v>0</v>
      </c>
      <c r="L1143" s="191">
        <v>0</v>
      </c>
      <c r="M1143" s="191">
        <v>0</v>
      </c>
      <c r="N1143" s="191">
        <v>0</v>
      </c>
      <c r="O1143" s="191">
        <v>0</v>
      </c>
      <c r="P1143" s="191">
        <v>0</v>
      </c>
    </row>
    <row r="1144" spans="1:16" x14ac:dyDescent="0.25">
      <c r="A1144" s="190">
        <v>801010402</v>
      </c>
      <c r="B1144" s="190" t="s">
        <v>434</v>
      </c>
      <c r="C1144" s="190">
        <v>3612</v>
      </c>
      <c r="D1144" s="190" t="s">
        <v>408</v>
      </c>
      <c r="E1144" s="191">
        <v>0</v>
      </c>
      <c r="F1144" s="191">
        <v>215.72</v>
      </c>
      <c r="G1144" s="191">
        <v>0</v>
      </c>
      <c r="H1144" s="191">
        <v>0</v>
      </c>
      <c r="I1144" s="191">
        <v>0</v>
      </c>
      <c r="J1144" s="191">
        <v>0</v>
      </c>
      <c r="K1144" s="191">
        <v>0</v>
      </c>
      <c r="L1144" s="191">
        <v>0</v>
      </c>
      <c r="M1144" s="191">
        <v>0</v>
      </c>
      <c r="N1144" s="191">
        <v>0</v>
      </c>
      <c r="O1144" s="191">
        <v>0</v>
      </c>
      <c r="P1144" s="191">
        <v>0</v>
      </c>
    </row>
    <row r="1145" spans="1:16" x14ac:dyDescent="0.25">
      <c r="A1145" s="190">
        <v>801010402</v>
      </c>
      <c r="B1145" s="190" t="s">
        <v>435</v>
      </c>
      <c r="C1145" s="190">
        <v>3612</v>
      </c>
      <c r="D1145" s="190" t="s">
        <v>408</v>
      </c>
      <c r="E1145" s="191">
        <v>0</v>
      </c>
      <c r="F1145" s="191">
        <v>215.72</v>
      </c>
      <c r="G1145" s="191">
        <v>0</v>
      </c>
      <c r="H1145" s="191">
        <v>0</v>
      </c>
      <c r="I1145" s="191">
        <v>0</v>
      </c>
      <c r="J1145" s="191">
        <v>0</v>
      </c>
      <c r="K1145" s="191">
        <v>0</v>
      </c>
      <c r="L1145" s="191">
        <v>0</v>
      </c>
      <c r="M1145" s="191">
        <v>0</v>
      </c>
      <c r="N1145" s="191">
        <v>0</v>
      </c>
      <c r="O1145" s="191">
        <v>0</v>
      </c>
      <c r="P1145" s="191">
        <v>0</v>
      </c>
    </row>
    <row r="1146" spans="1:16" x14ac:dyDescent="0.25">
      <c r="A1146" s="190">
        <v>801010402</v>
      </c>
      <c r="B1146" s="190" t="s">
        <v>436</v>
      </c>
      <c r="C1146" s="190">
        <v>3612</v>
      </c>
      <c r="D1146" s="190" t="s">
        <v>408</v>
      </c>
      <c r="E1146" s="191">
        <v>0</v>
      </c>
      <c r="F1146" s="191">
        <v>191.28</v>
      </c>
      <c r="G1146" s="191">
        <v>0</v>
      </c>
      <c r="H1146" s="191">
        <v>0</v>
      </c>
      <c r="I1146" s="191">
        <v>0</v>
      </c>
      <c r="J1146" s="191">
        <v>0</v>
      </c>
      <c r="K1146" s="191">
        <v>0</v>
      </c>
      <c r="L1146" s="191">
        <v>0</v>
      </c>
      <c r="M1146" s="191">
        <v>0</v>
      </c>
      <c r="N1146" s="191">
        <v>0</v>
      </c>
      <c r="O1146" s="191">
        <v>0</v>
      </c>
      <c r="P1146" s="191">
        <v>0</v>
      </c>
    </row>
    <row r="1147" spans="1:16" x14ac:dyDescent="0.25">
      <c r="A1147" s="190">
        <v>801010402</v>
      </c>
      <c r="B1147" s="190" t="s">
        <v>407</v>
      </c>
      <c r="C1147" s="190">
        <v>3661</v>
      </c>
      <c r="D1147" s="190" t="s">
        <v>408</v>
      </c>
      <c r="E1147" s="191">
        <v>0</v>
      </c>
      <c r="F1147" s="191">
        <v>0</v>
      </c>
      <c r="G1147" s="191">
        <v>0</v>
      </c>
      <c r="H1147" s="191">
        <v>0</v>
      </c>
      <c r="I1147" s="191">
        <v>0</v>
      </c>
      <c r="J1147" s="191">
        <v>0</v>
      </c>
      <c r="K1147" s="191">
        <v>0</v>
      </c>
      <c r="L1147" s="191">
        <v>0</v>
      </c>
      <c r="M1147" s="191">
        <v>0</v>
      </c>
      <c r="N1147" s="191">
        <v>0</v>
      </c>
      <c r="O1147" s="191">
        <v>0</v>
      </c>
      <c r="P1147" s="193">
        <v>872302.76</v>
      </c>
    </row>
    <row r="1148" spans="1:16" x14ac:dyDescent="0.25">
      <c r="A1148" s="190">
        <v>801010402</v>
      </c>
      <c r="B1148" s="190" t="s">
        <v>407</v>
      </c>
      <c r="C1148" s="190">
        <v>3691</v>
      </c>
      <c r="D1148" s="190" t="s">
        <v>408</v>
      </c>
      <c r="E1148" s="191">
        <v>0</v>
      </c>
      <c r="F1148" s="191">
        <v>0</v>
      </c>
      <c r="G1148" s="191">
        <v>0</v>
      </c>
      <c r="H1148" s="191">
        <v>0</v>
      </c>
      <c r="I1148" s="191">
        <v>0</v>
      </c>
      <c r="J1148" s="193">
        <v>1183.2</v>
      </c>
      <c r="K1148" s="191">
        <v>0</v>
      </c>
      <c r="L1148" s="191">
        <v>0</v>
      </c>
      <c r="M1148" s="193">
        <v>2352.48</v>
      </c>
      <c r="N1148" s="193">
        <v>1153.6199999999999</v>
      </c>
      <c r="O1148" s="191">
        <v>0</v>
      </c>
      <c r="P1148" s="191">
        <v>0</v>
      </c>
    </row>
    <row r="1149" spans="1:16" x14ac:dyDescent="0.25">
      <c r="A1149" s="190">
        <v>801010402</v>
      </c>
      <c r="B1149" s="190" t="s">
        <v>407</v>
      </c>
      <c r="C1149" s="190">
        <v>3711</v>
      </c>
      <c r="D1149" s="190" t="s">
        <v>408</v>
      </c>
      <c r="E1149" s="191">
        <v>0</v>
      </c>
      <c r="F1149" s="191">
        <v>0</v>
      </c>
      <c r="G1149" s="191">
        <v>0</v>
      </c>
      <c r="H1149" s="191">
        <v>0</v>
      </c>
      <c r="I1149" s="191">
        <v>0</v>
      </c>
      <c r="J1149" s="191">
        <v>0</v>
      </c>
      <c r="K1149" s="191">
        <v>0</v>
      </c>
      <c r="L1149" s="193">
        <v>37314.83</v>
      </c>
      <c r="M1149" s="191">
        <v>0</v>
      </c>
      <c r="N1149" s="191">
        <v>0</v>
      </c>
      <c r="O1149" s="191">
        <v>0</v>
      </c>
      <c r="P1149" s="191">
        <v>0</v>
      </c>
    </row>
    <row r="1150" spans="1:16" x14ac:dyDescent="0.25">
      <c r="A1150" s="190">
        <v>801010402</v>
      </c>
      <c r="B1150" s="190" t="s">
        <v>417</v>
      </c>
      <c r="C1150" s="190">
        <v>3711</v>
      </c>
      <c r="D1150" s="190" t="s">
        <v>408</v>
      </c>
      <c r="E1150" s="191">
        <v>0</v>
      </c>
      <c r="F1150" s="191">
        <v>0</v>
      </c>
      <c r="G1150" s="191">
        <v>0</v>
      </c>
      <c r="H1150" s="191">
        <v>0</v>
      </c>
      <c r="I1150" s="191">
        <v>0</v>
      </c>
      <c r="J1150" s="191">
        <v>0</v>
      </c>
      <c r="K1150" s="191">
        <v>0</v>
      </c>
      <c r="L1150" s="193">
        <v>3980</v>
      </c>
      <c r="M1150" s="191">
        <v>0</v>
      </c>
      <c r="N1150" s="191">
        <v>0</v>
      </c>
      <c r="O1150" s="191">
        <v>0</v>
      </c>
      <c r="P1150" s="191">
        <v>0</v>
      </c>
    </row>
    <row r="1151" spans="1:16" x14ac:dyDescent="0.25">
      <c r="A1151" s="190">
        <v>801010402</v>
      </c>
      <c r="B1151" s="190" t="s">
        <v>407</v>
      </c>
      <c r="C1151" s="190">
        <v>3721</v>
      </c>
      <c r="D1151" s="190" t="s">
        <v>408</v>
      </c>
      <c r="E1151" s="191">
        <v>0</v>
      </c>
      <c r="F1151" s="191">
        <v>623.08000000000004</v>
      </c>
      <c r="G1151" s="193">
        <v>14208.13</v>
      </c>
      <c r="H1151" s="191">
        <v>924</v>
      </c>
      <c r="I1151" s="193">
        <v>14896.87</v>
      </c>
      <c r="J1151" s="193">
        <v>16951.11</v>
      </c>
      <c r="K1151" s="193">
        <v>3183</v>
      </c>
      <c r="L1151" s="193">
        <v>41343.360000000001</v>
      </c>
      <c r="M1151" s="193">
        <v>2189</v>
      </c>
      <c r="N1151" s="193">
        <v>1816</v>
      </c>
      <c r="O1151" s="193">
        <v>19500.61</v>
      </c>
      <c r="P1151" s="193">
        <v>5592</v>
      </c>
    </row>
    <row r="1152" spans="1:16" x14ac:dyDescent="0.25">
      <c r="A1152" s="190">
        <v>801010402</v>
      </c>
      <c r="B1152" s="190" t="s">
        <v>410</v>
      </c>
      <c r="C1152" s="190">
        <v>3721</v>
      </c>
      <c r="D1152" s="190" t="s">
        <v>408</v>
      </c>
      <c r="E1152" s="191">
        <v>0</v>
      </c>
      <c r="F1152" s="191">
        <v>0</v>
      </c>
      <c r="G1152" s="191">
        <v>0</v>
      </c>
      <c r="H1152" s="191">
        <v>0</v>
      </c>
      <c r="I1152" s="191">
        <v>426.6</v>
      </c>
      <c r="J1152" s="191">
        <v>76</v>
      </c>
      <c r="K1152" s="191">
        <v>0</v>
      </c>
      <c r="L1152" s="191">
        <v>0</v>
      </c>
      <c r="M1152" s="191">
        <v>0</v>
      </c>
      <c r="N1152" s="191">
        <v>0</v>
      </c>
      <c r="O1152" s="191">
        <v>0</v>
      </c>
      <c r="P1152" s="191">
        <v>0</v>
      </c>
    </row>
    <row r="1153" spans="1:16" x14ac:dyDescent="0.25">
      <c r="A1153" s="190">
        <v>801010402</v>
      </c>
      <c r="B1153" s="190" t="s">
        <v>412</v>
      </c>
      <c r="C1153" s="190">
        <v>3721</v>
      </c>
      <c r="D1153" s="190" t="s">
        <v>408</v>
      </c>
      <c r="E1153" s="191">
        <v>0</v>
      </c>
      <c r="F1153" s="191">
        <v>0</v>
      </c>
      <c r="G1153" s="191">
        <v>0</v>
      </c>
      <c r="H1153" s="191">
        <v>0</v>
      </c>
      <c r="I1153" s="191">
        <v>0</v>
      </c>
      <c r="J1153" s="191">
        <v>0</v>
      </c>
      <c r="K1153" s="191">
        <v>670</v>
      </c>
      <c r="L1153" s="191">
        <v>0</v>
      </c>
      <c r="M1153" s="191">
        <v>0</v>
      </c>
      <c r="N1153" s="191">
        <v>0</v>
      </c>
      <c r="O1153" s="191">
        <v>0</v>
      </c>
      <c r="P1153" s="191">
        <v>0</v>
      </c>
    </row>
    <row r="1154" spans="1:16" x14ac:dyDescent="0.25">
      <c r="A1154" s="190">
        <v>801010402</v>
      </c>
      <c r="B1154" s="190" t="s">
        <v>413</v>
      </c>
      <c r="C1154" s="190">
        <v>3721</v>
      </c>
      <c r="D1154" s="190" t="s">
        <v>408</v>
      </c>
      <c r="E1154" s="191">
        <v>0</v>
      </c>
      <c r="F1154" s="191">
        <v>0</v>
      </c>
      <c r="G1154" s="191">
        <v>0</v>
      </c>
      <c r="H1154" s="191">
        <v>0</v>
      </c>
      <c r="I1154" s="191">
        <v>444</v>
      </c>
      <c r="J1154" s="191">
        <v>0</v>
      </c>
      <c r="K1154" s="191">
        <v>0</v>
      </c>
      <c r="L1154" s="191">
        <v>128</v>
      </c>
      <c r="M1154" s="191">
        <v>0</v>
      </c>
      <c r="N1154" s="191">
        <v>0</v>
      </c>
      <c r="O1154" s="191">
        <v>0</v>
      </c>
      <c r="P1154" s="191">
        <v>446.18</v>
      </c>
    </row>
    <row r="1155" spans="1:16" x14ac:dyDescent="0.25">
      <c r="A1155" s="190">
        <v>801010402</v>
      </c>
      <c r="B1155" s="190" t="s">
        <v>414</v>
      </c>
      <c r="C1155" s="190">
        <v>3721</v>
      </c>
      <c r="D1155" s="190" t="s">
        <v>408</v>
      </c>
      <c r="E1155" s="191">
        <v>0</v>
      </c>
      <c r="F1155" s="191">
        <v>0</v>
      </c>
      <c r="G1155" s="191">
        <v>0</v>
      </c>
      <c r="H1155" s="191">
        <v>0</v>
      </c>
      <c r="I1155" s="191">
        <v>0</v>
      </c>
      <c r="J1155" s="191">
        <v>0</v>
      </c>
      <c r="K1155" s="191">
        <v>0</v>
      </c>
      <c r="L1155" s="193">
        <v>1020.8</v>
      </c>
      <c r="M1155" s="191">
        <v>0</v>
      </c>
      <c r="N1155" s="191">
        <v>0</v>
      </c>
      <c r="O1155" s="191">
        <v>0</v>
      </c>
      <c r="P1155" s="191">
        <v>0</v>
      </c>
    </row>
    <row r="1156" spans="1:16" x14ac:dyDescent="0.25">
      <c r="A1156" s="190">
        <v>801010402</v>
      </c>
      <c r="B1156" s="190" t="s">
        <v>415</v>
      </c>
      <c r="C1156" s="190">
        <v>3721</v>
      </c>
      <c r="D1156" s="190" t="s">
        <v>408</v>
      </c>
      <c r="E1156" s="191">
        <v>0</v>
      </c>
      <c r="F1156" s="191">
        <v>0</v>
      </c>
      <c r="G1156" s="191">
        <v>0</v>
      </c>
      <c r="H1156" s="191">
        <v>0</v>
      </c>
      <c r="I1156" s="191">
        <v>0</v>
      </c>
      <c r="J1156" s="191">
        <v>0</v>
      </c>
      <c r="K1156" s="191">
        <v>0</v>
      </c>
      <c r="L1156" s="193">
        <v>1237</v>
      </c>
      <c r="M1156" s="191">
        <v>0</v>
      </c>
      <c r="N1156" s="191">
        <v>0</v>
      </c>
      <c r="O1156" s="191">
        <v>0</v>
      </c>
      <c r="P1156" s="191">
        <v>0</v>
      </c>
    </row>
    <row r="1157" spans="1:16" x14ac:dyDescent="0.25">
      <c r="A1157" s="190">
        <v>801010402</v>
      </c>
      <c r="B1157" s="190" t="s">
        <v>416</v>
      </c>
      <c r="C1157" s="190">
        <v>3721</v>
      </c>
      <c r="D1157" s="190" t="s">
        <v>408</v>
      </c>
      <c r="E1157" s="191">
        <v>0</v>
      </c>
      <c r="F1157" s="191">
        <v>380</v>
      </c>
      <c r="G1157" s="191">
        <v>0</v>
      </c>
      <c r="H1157" s="191">
        <v>0</v>
      </c>
      <c r="I1157" s="191">
        <v>423</v>
      </c>
      <c r="J1157" s="193">
        <v>1062</v>
      </c>
      <c r="K1157" s="191">
        <v>275</v>
      </c>
      <c r="L1157" s="191">
        <v>0</v>
      </c>
      <c r="M1157" s="191">
        <v>479.5</v>
      </c>
      <c r="N1157" s="191">
        <v>545</v>
      </c>
      <c r="O1157" s="191">
        <v>0</v>
      </c>
      <c r="P1157" s="191">
        <v>538</v>
      </c>
    </row>
    <row r="1158" spans="1:16" x14ac:dyDescent="0.25">
      <c r="A1158" s="190">
        <v>801010402</v>
      </c>
      <c r="B1158" s="190" t="s">
        <v>417</v>
      </c>
      <c r="C1158" s="190">
        <v>3721</v>
      </c>
      <c r="D1158" s="190" t="s">
        <v>418</v>
      </c>
      <c r="E1158" s="191">
        <v>0</v>
      </c>
      <c r="F1158" s="191">
        <v>0</v>
      </c>
      <c r="G1158" s="191">
        <v>0</v>
      </c>
      <c r="H1158" s="191">
        <v>0</v>
      </c>
      <c r="I1158" s="191">
        <v>0</v>
      </c>
      <c r="J1158" s="191">
        <v>0</v>
      </c>
      <c r="K1158" s="191">
        <v>0</v>
      </c>
      <c r="L1158" s="193">
        <v>1636</v>
      </c>
      <c r="M1158" s="191">
        <v>0</v>
      </c>
      <c r="N1158" s="191">
        <v>0</v>
      </c>
      <c r="O1158" s="191">
        <v>0</v>
      </c>
      <c r="P1158" s="191">
        <v>0</v>
      </c>
    </row>
    <row r="1159" spans="1:16" x14ac:dyDescent="0.25">
      <c r="A1159" s="190">
        <v>801010402</v>
      </c>
      <c r="B1159" s="190" t="s">
        <v>417</v>
      </c>
      <c r="C1159" s="190">
        <v>3721</v>
      </c>
      <c r="D1159" s="190" t="s">
        <v>408</v>
      </c>
      <c r="E1159" s="191">
        <v>0</v>
      </c>
      <c r="F1159" s="191">
        <v>0</v>
      </c>
      <c r="G1159" s="191">
        <v>0</v>
      </c>
      <c r="H1159" s="191">
        <v>0</v>
      </c>
      <c r="I1159" s="193">
        <v>2787</v>
      </c>
      <c r="J1159" s="193">
        <v>1433</v>
      </c>
      <c r="K1159" s="191">
        <v>727</v>
      </c>
      <c r="L1159" s="191">
        <v>770</v>
      </c>
      <c r="M1159" s="191">
        <v>0</v>
      </c>
      <c r="N1159" s="191">
        <v>0</v>
      </c>
      <c r="O1159" s="191">
        <v>0</v>
      </c>
      <c r="P1159" s="193">
        <v>3605</v>
      </c>
    </row>
    <row r="1160" spans="1:16" x14ac:dyDescent="0.25">
      <c r="A1160" s="190">
        <v>801010402</v>
      </c>
      <c r="B1160" s="190" t="s">
        <v>419</v>
      </c>
      <c r="C1160" s="190">
        <v>3721</v>
      </c>
      <c r="D1160" s="190" t="s">
        <v>408</v>
      </c>
      <c r="E1160" s="191">
        <v>0</v>
      </c>
      <c r="F1160" s="191">
        <v>0</v>
      </c>
      <c r="G1160" s="191">
        <v>0</v>
      </c>
      <c r="H1160" s="191">
        <v>0</v>
      </c>
      <c r="I1160" s="193">
        <v>1304.47</v>
      </c>
      <c r="J1160" s="193">
        <v>1265</v>
      </c>
      <c r="K1160" s="191">
        <v>0</v>
      </c>
      <c r="L1160" s="191">
        <v>631</v>
      </c>
      <c r="M1160" s="191">
        <v>257</v>
      </c>
      <c r="N1160" s="191">
        <v>617</v>
      </c>
      <c r="O1160" s="191">
        <v>0</v>
      </c>
      <c r="P1160" s="191">
        <v>959</v>
      </c>
    </row>
    <row r="1161" spans="1:16" x14ac:dyDescent="0.25">
      <c r="A1161" s="190">
        <v>801010402</v>
      </c>
      <c r="B1161" s="190" t="s">
        <v>420</v>
      </c>
      <c r="C1161" s="190">
        <v>3721</v>
      </c>
      <c r="D1161" s="190" t="s">
        <v>408</v>
      </c>
      <c r="E1161" s="191">
        <v>0</v>
      </c>
      <c r="F1161" s="191">
        <v>0</v>
      </c>
      <c r="G1161" s="191">
        <v>0</v>
      </c>
      <c r="H1161" s="191">
        <v>0</v>
      </c>
      <c r="I1161" s="191">
        <v>0</v>
      </c>
      <c r="J1161" s="191">
        <v>0</v>
      </c>
      <c r="K1161" s="191">
        <v>0</v>
      </c>
      <c r="L1161" s="191">
        <v>188</v>
      </c>
      <c r="M1161" s="191">
        <v>0</v>
      </c>
      <c r="N1161" s="191">
        <v>0</v>
      </c>
      <c r="O1161" s="191">
        <v>0</v>
      </c>
      <c r="P1161" s="191">
        <v>0</v>
      </c>
    </row>
    <row r="1162" spans="1:16" x14ac:dyDescent="0.25">
      <c r="A1162" s="190">
        <v>801010402</v>
      </c>
      <c r="B1162" s="190" t="s">
        <v>421</v>
      </c>
      <c r="C1162" s="190">
        <v>3721</v>
      </c>
      <c r="D1162" s="190" t="s">
        <v>408</v>
      </c>
      <c r="E1162" s="191">
        <v>0</v>
      </c>
      <c r="F1162" s="191">
        <v>0</v>
      </c>
      <c r="G1162" s="191">
        <v>0</v>
      </c>
      <c r="H1162" s="191">
        <v>0</v>
      </c>
      <c r="I1162" s="191">
        <v>0</v>
      </c>
      <c r="J1162" s="191">
        <v>708.72</v>
      </c>
      <c r="K1162" s="191">
        <v>0</v>
      </c>
      <c r="L1162" s="191">
        <v>0</v>
      </c>
      <c r="M1162" s="191">
        <v>0</v>
      </c>
      <c r="N1162" s="191">
        <v>92</v>
      </c>
      <c r="O1162" s="191">
        <v>0</v>
      </c>
      <c r="P1162" s="191">
        <v>184</v>
      </c>
    </row>
    <row r="1163" spans="1:16" x14ac:dyDescent="0.25">
      <c r="A1163" s="190">
        <v>801010402</v>
      </c>
      <c r="B1163" s="190" t="s">
        <v>422</v>
      </c>
      <c r="C1163" s="190">
        <v>3721</v>
      </c>
      <c r="D1163" s="190" t="s">
        <v>408</v>
      </c>
      <c r="E1163" s="191">
        <v>0</v>
      </c>
      <c r="F1163" s="191">
        <v>506</v>
      </c>
      <c r="G1163" s="191">
        <v>0</v>
      </c>
      <c r="H1163" s="191">
        <v>0</v>
      </c>
      <c r="I1163" s="191">
        <v>0</v>
      </c>
      <c r="J1163" s="191">
        <v>0</v>
      </c>
      <c r="K1163" s="191">
        <v>0</v>
      </c>
      <c r="L1163" s="191">
        <v>0</v>
      </c>
      <c r="M1163" s="191">
        <v>0</v>
      </c>
      <c r="N1163" s="191">
        <v>0</v>
      </c>
      <c r="O1163" s="191">
        <v>0</v>
      </c>
      <c r="P1163" s="191">
        <v>836.94</v>
      </c>
    </row>
    <row r="1164" spans="1:16" x14ac:dyDescent="0.25">
      <c r="A1164" s="190">
        <v>801010402</v>
      </c>
      <c r="B1164" s="190" t="s">
        <v>423</v>
      </c>
      <c r="C1164" s="190">
        <v>3721</v>
      </c>
      <c r="D1164" s="190" t="s">
        <v>408</v>
      </c>
      <c r="E1164" s="191">
        <v>0</v>
      </c>
      <c r="F1164" s="191">
        <v>0</v>
      </c>
      <c r="G1164" s="191">
        <v>0</v>
      </c>
      <c r="H1164" s="191">
        <v>0</v>
      </c>
      <c r="I1164" s="191">
        <v>0</v>
      </c>
      <c r="J1164" s="191">
        <v>0</v>
      </c>
      <c r="K1164" s="191">
        <v>0</v>
      </c>
      <c r="L1164" s="193">
        <v>1004</v>
      </c>
      <c r="M1164" s="191">
        <v>0</v>
      </c>
      <c r="N1164" s="191">
        <v>0</v>
      </c>
      <c r="O1164" s="191">
        <v>0</v>
      </c>
      <c r="P1164" s="193">
        <v>1059</v>
      </c>
    </row>
    <row r="1165" spans="1:16" x14ac:dyDescent="0.25">
      <c r="A1165" s="190">
        <v>801010402</v>
      </c>
      <c r="B1165" s="190" t="s">
        <v>426</v>
      </c>
      <c r="C1165" s="190">
        <v>3721</v>
      </c>
      <c r="D1165" s="190" t="s">
        <v>408</v>
      </c>
      <c r="E1165" s="191">
        <v>0</v>
      </c>
      <c r="F1165" s="193">
        <v>1101</v>
      </c>
      <c r="G1165" s="191">
        <v>0</v>
      </c>
      <c r="H1165" s="191">
        <v>0</v>
      </c>
      <c r="I1165" s="193">
        <v>1281.2</v>
      </c>
      <c r="J1165" s="193">
        <v>1096</v>
      </c>
      <c r="K1165" s="191">
        <v>0</v>
      </c>
      <c r="L1165" s="193">
        <v>6227</v>
      </c>
      <c r="M1165" s="193">
        <v>1248.99</v>
      </c>
      <c r="N1165" s="193">
        <v>1818.5</v>
      </c>
      <c r="O1165" s="191">
        <v>0</v>
      </c>
      <c r="P1165" s="191">
        <v>939</v>
      </c>
    </row>
    <row r="1166" spans="1:16" x14ac:dyDescent="0.25">
      <c r="A1166" s="190">
        <v>801010402</v>
      </c>
      <c r="B1166" s="190" t="s">
        <v>427</v>
      </c>
      <c r="C1166" s="190">
        <v>3721</v>
      </c>
      <c r="D1166" s="190" t="s">
        <v>408</v>
      </c>
      <c r="E1166" s="191">
        <v>0</v>
      </c>
      <c r="F1166" s="191">
        <v>226</v>
      </c>
      <c r="G1166" s="191">
        <v>0</v>
      </c>
      <c r="H1166" s="191">
        <v>0</v>
      </c>
      <c r="I1166" s="193">
        <v>1336</v>
      </c>
      <c r="J1166" s="191">
        <v>0</v>
      </c>
      <c r="K1166" s="191">
        <v>876</v>
      </c>
      <c r="L1166" s="191">
        <v>655</v>
      </c>
      <c r="M1166" s="191">
        <v>718</v>
      </c>
      <c r="N1166" s="191">
        <v>344</v>
      </c>
      <c r="O1166" s="191">
        <v>0</v>
      </c>
      <c r="P1166" s="191">
        <v>689</v>
      </c>
    </row>
    <row r="1167" spans="1:16" x14ac:dyDescent="0.25">
      <c r="A1167" s="190">
        <v>801010402</v>
      </c>
      <c r="B1167" s="190" t="s">
        <v>428</v>
      </c>
      <c r="C1167" s="190">
        <v>3721</v>
      </c>
      <c r="D1167" s="190" t="s">
        <v>408</v>
      </c>
      <c r="E1167" s="191">
        <v>0</v>
      </c>
      <c r="F1167" s="191">
        <v>0</v>
      </c>
      <c r="G1167" s="191">
        <v>0</v>
      </c>
      <c r="H1167" s="191">
        <v>0</v>
      </c>
      <c r="I1167" s="191">
        <v>0</v>
      </c>
      <c r="J1167" s="191">
        <v>0</v>
      </c>
      <c r="K1167" s="191">
        <v>0</v>
      </c>
      <c r="L1167" s="191">
        <v>0</v>
      </c>
      <c r="M1167" s="191">
        <v>629</v>
      </c>
      <c r="N1167" s="191">
        <v>0</v>
      </c>
      <c r="O1167" s="191">
        <v>0</v>
      </c>
      <c r="P1167" s="191">
        <v>494</v>
      </c>
    </row>
    <row r="1168" spans="1:16" x14ac:dyDescent="0.25">
      <c r="A1168" s="190">
        <v>801010402</v>
      </c>
      <c r="B1168" s="190" t="s">
        <v>429</v>
      </c>
      <c r="C1168" s="190">
        <v>3721</v>
      </c>
      <c r="D1168" s="190" t="s">
        <v>408</v>
      </c>
      <c r="E1168" s="191">
        <v>0</v>
      </c>
      <c r="F1168" s="191">
        <v>0</v>
      </c>
      <c r="G1168" s="191">
        <v>0</v>
      </c>
      <c r="H1168" s="191">
        <v>0</v>
      </c>
      <c r="I1168" s="191">
        <v>0</v>
      </c>
      <c r="J1168" s="193">
        <v>4036.18</v>
      </c>
      <c r="K1168" s="191">
        <v>0</v>
      </c>
      <c r="L1168" s="191">
        <v>0</v>
      </c>
      <c r="M1168" s="191">
        <v>0</v>
      </c>
      <c r="N1168" s="191">
        <v>0</v>
      </c>
      <c r="O1168" s="191">
        <v>0</v>
      </c>
      <c r="P1168" s="191">
        <v>0</v>
      </c>
    </row>
    <row r="1169" spans="1:16" x14ac:dyDescent="0.25">
      <c r="A1169" s="190">
        <v>801010402</v>
      </c>
      <c r="B1169" s="190" t="s">
        <v>431</v>
      </c>
      <c r="C1169" s="190">
        <v>3721</v>
      </c>
      <c r="D1169" s="190" t="s">
        <v>408</v>
      </c>
      <c r="E1169" s="191">
        <v>0</v>
      </c>
      <c r="F1169" s="191">
        <v>0</v>
      </c>
      <c r="G1169" s="191">
        <v>0</v>
      </c>
      <c r="H1169" s="191">
        <v>0</v>
      </c>
      <c r="I1169" s="191">
        <v>426</v>
      </c>
      <c r="J1169" s="191">
        <v>0</v>
      </c>
      <c r="K1169" s="191">
        <v>424</v>
      </c>
      <c r="L1169" s="191">
        <v>0</v>
      </c>
      <c r="M1169" s="193">
        <v>1013</v>
      </c>
      <c r="N1169" s="191">
        <v>491.9</v>
      </c>
      <c r="O1169" s="191">
        <v>0</v>
      </c>
      <c r="P1169" s="191">
        <v>676</v>
      </c>
    </row>
    <row r="1170" spans="1:16" x14ac:dyDescent="0.25">
      <c r="A1170" s="190">
        <v>801010402</v>
      </c>
      <c r="B1170" s="190" t="s">
        <v>432</v>
      </c>
      <c r="C1170" s="190">
        <v>3721</v>
      </c>
      <c r="D1170" s="190" t="s">
        <v>418</v>
      </c>
      <c r="E1170" s="191">
        <v>0</v>
      </c>
      <c r="F1170" s="191">
        <v>0</v>
      </c>
      <c r="G1170" s="191">
        <v>0</v>
      </c>
      <c r="H1170" s="191">
        <v>0</v>
      </c>
      <c r="I1170" s="191">
        <v>0</v>
      </c>
      <c r="J1170" s="191">
        <v>0</v>
      </c>
      <c r="K1170" s="191">
        <v>0</v>
      </c>
      <c r="L1170" s="193">
        <v>2321.1</v>
      </c>
      <c r="M1170" s="191">
        <v>0</v>
      </c>
      <c r="N1170" s="191">
        <v>0</v>
      </c>
      <c r="O1170" s="191">
        <v>0</v>
      </c>
      <c r="P1170" s="191">
        <v>0</v>
      </c>
    </row>
    <row r="1171" spans="1:16" x14ac:dyDescent="0.25">
      <c r="A1171" s="190">
        <v>801010402</v>
      </c>
      <c r="B1171" s="190" t="s">
        <v>432</v>
      </c>
      <c r="C1171" s="190">
        <v>3721</v>
      </c>
      <c r="D1171" s="190" t="s">
        <v>408</v>
      </c>
      <c r="E1171" s="191">
        <v>0</v>
      </c>
      <c r="F1171" s="191">
        <v>450</v>
      </c>
      <c r="G1171" s="191">
        <v>0</v>
      </c>
      <c r="H1171" s="191">
        <v>0</v>
      </c>
      <c r="I1171" s="193">
        <v>2251.9699999999998</v>
      </c>
      <c r="J1171" s="191">
        <v>0</v>
      </c>
      <c r="K1171" s="193">
        <v>2563</v>
      </c>
      <c r="L1171" s="191">
        <v>0</v>
      </c>
      <c r="M1171" s="191">
        <v>0</v>
      </c>
      <c r="N1171" s="193">
        <v>4410.37</v>
      </c>
      <c r="O1171" s="191">
        <v>0</v>
      </c>
      <c r="P1171" s="193">
        <v>4603</v>
      </c>
    </row>
    <row r="1172" spans="1:16" x14ac:dyDescent="0.25">
      <c r="A1172" s="190">
        <v>801010402</v>
      </c>
      <c r="B1172" s="190" t="s">
        <v>433</v>
      </c>
      <c r="C1172" s="190">
        <v>3721</v>
      </c>
      <c r="D1172" s="190" t="s">
        <v>418</v>
      </c>
      <c r="E1172" s="191">
        <v>0</v>
      </c>
      <c r="F1172" s="191">
        <v>0</v>
      </c>
      <c r="G1172" s="191">
        <v>0</v>
      </c>
      <c r="H1172" s="191">
        <v>0</v>
      </c>
      <c r="I1172" s="191">
        <v>0</v>
      </c>
      <c r="J1172" s="191">
        <v>0</v>
      </c>
      <c r="K1172" s="191">
        <v>0</v>
      </c>
      <c r="L1172" s="191">
        <v>143</v>
      </c>
      <c r="M1172" s="191">
        <v>0</v>
      </c>
      <c r="N1172" s="191">
        <v>0</v>
      </c>
      <c r="O1172" s="191">
        <v>0</v>
      </c>
      <c r="P1172" s="191">
        <v>0</v>
      </c>
    </row>
    <row r="1173" spans="1:16" x14ac:dyDescent="0.25">
      <c r="A1173" s="190">
        <v>801010402</v>
      </c>
      <c r="B1173" s="190" t="s">
        <v>433</v>
      </c>
      <c r="C1173" s="190">
        <v>3721</v>
      </c>
      <c r="D1173" s="190" t="s">
        <v>408</v>
      </c>
      <c r="E1173" s="191">
        <v>0</v>
      </c>
      <c r="F1173" s="191">
        <v>0</v>
      </c>
      <c r="G1173" s="191">
        <v>0</v>
      </c>
      <c r="H1173" s="191">
        <v>0</v>
      </c>
      <c r="I1173" s="191">
        <v>488</v>
      </c>
      <c r="J1173" s="191">
        <v>673</v>
      </c>
      <c r="K1173" s="191">
        <v>0</v>
      </c>
      <c r="L1173" s="191">
        <v>987</v>
      </c>
      <c r="M1173" s="191">
        <v>961</v>
      </c>
      <c r="N1173" s="191">
        <v>0</v>
      </c>
      <c r="O1173" s="191">
        <v>0</v>
      </c>
      <c r="P1173" s="191">
        <v>636</v>
      </c>
    </row>
    <row r="1174" spans="1:16" x14ac:dyDescent="0.25">
      <c r="A1174" s="190">
        <v>801010402</v>
      </c>
      <c r="B1174" s="190" t="s">
        <v>434</v>
      </c>
      <c r="C1174" s="190">
        <v>3721</v>
      </c>
      <c r="D1174" s="190" t="s">
        <v>408</v>
      </c>
      <c r="E1174" s="191">
        <v>0</v>
      </c>
      <c r="F1174" s="191">
        <v>0</v>
      </c>
      <c r="G1174" s="191">
        <v>0</v>
      </c>
      <c r="H1174" s="191">
        <v>0</v>
      </c>
      <c r="I1174" s="191">
        <v>0</v>
      </c>
      <c r="J1174" s="191">
        <v>525</v>
      </c>
      <c r="K1174" s="191">
        <v>0</v>
      </c>
      <c r="L1174" s="191">
        <v>0</v>
      </c>
      <c r="M1174" s="191">
        <v>0</v>
      </c>
      <c r="N1174" s="191">
        <v>0</v>
      </c>
      <c r="O1174" s="191">
        <v>0</v>
      </c>
      <c r="P1174" s="191">
        <v>0</v>
      </c>
    </row>
    <row r="1175" spans="1:16" x14ac:dyDescent="0.25">
      <c r="A1175" s="190">
        <v>801010402</v>
      </c>
      <c r="B1175" s="190" t="s">
        <v>435</v>
      </c>
      <c r="C1175" s="190">
        <v>3721</v>
      </c>
      <c r="D1175" s="190" t="s">
        <v>408</v>
      </c>
      <c r="E1175" s="191">
        <v>0</v>
      </c>
      <c r="F1175" s="191">
        <v>102</v>
      </c>
      <c r="G1175" s="191">
        <v>0</v>
      </c>
      <c r="H1175" s="191">
        <v>0</v>
      </c>
      <c r="I1175" s="191">
        <v>194</v>
      </c>
      <c r="J1175" s="191">
        <v>0</v>
      </c>
      <c r="K1175" s="191">
        <v>0</v>
      </c>
      <c r="L1175" s="191">
        <v>0</v>
      </c>
      <c r="M1175" s="191">
        <v>0</v>
      </c>
      <c r="N1175" s="191">
        <v>0</v>
      </c>
      <c r="O1175" s="191">
        <v>0</v>
      </c>
      <c r="P1175" s="191">
        <v>0</v>
      </c>
    </row>
    <row r="1176" spans="1:16" x14ac:dyDescent="0.25">
      <c r="A1176" s="190">
        <v>801010402</v>
      </c>
      <c r="B1176" s="190" t="s">
        <v>436</v>
      </c>
      <c r="C1176" s="190">
        <v>3721</v>
      </c>
      <c r="D1176" s="190" t="s">
        <v>408</v>
      </c>
      <c r="E1176" s="191">
        <v>0</v>
      </c>
      <c r="F1176" s="191">
        <v>398</v>
      </c>
      <c r="G1176" s="191">
        <v>0</v>
      </c>
      <c r="H1176" s="191">
        <v>0</v>
      </c>
      <c r="I1176" s="191">
        <v>0</v>
      </c>
      <c r="J1176" s="191">
        <v>0</v>
      </c>
      <c r="K1176" s="191">
        <v>874</v>
      </c>
      <c r="L1176" s="191">
        <v>318</v>
      </c>
      <c r="M1176" s="193">
        <v>1055</v>
      </c>
      <c r="N1176" s="191">
        <v>552</v>
      </c>
      <c r="O1176" s="191">
        <v>0</v>
      </c>
      <c r="P1176" s="193">
        <v>1603</v>
      </c>
    </row>
    <row r="1177" spans="1:16" x14ac:dyDescent="0.25">
      <c r="A1177" s="190">
        <v>801010402</v>
      </c>
      <c r="B1177" s="190" t="s">
        <v>437</v>
      </c>
      <c r="C1177" s="190">
        <v>3721</v>
      </c>
      <c r="D1177" s="190" t="s">
        <v>408</v>
      </c>
      <c r="E1177" s="191">
        <v>0</v>
      </c>
      <c r="F1177" s="191">
        <v>290.95999999999998</v>
      </c>
      <c r="G1177" s="191">
        <v>0</v>
      </c>
      <c r="H1177" s="191">
        <v>0</v>
      </c>
      <c r="I1177" s="191">
        <v>0</v>
      </c>
      <c r="J1177" s="191">
        <v>0</v>
      </c>
      <c r="K1177" s="191">
        <v>0</v>
      </c>
      <c r="L1177" s="191">
        <v>0</v>
      </c>
      <c r="M1177" s="191">
        <v>0</v>
      </c>
      <c r="N1177" s="191">
        <v>0</v>
      </c>
      <c r="O1177" s="191">
        <v>0</v>
      </c>
      <c r="P1177" s="191">
        <v>0</v>
      </c>
    </row>
    <row r="1178" spans="1:16" x14ac:dyDescent="0.25">
      <c r="A1178" s="190">
        <v>801010402</v>
      </c>
      <c r="B1178" s="190" t="s">
        <v>407</v>
      </c>
      <c r="C1178" s="190">
        <v>3751</v>
      </c>
      <c r="D1178" s="190" t="s">
        <v>408</v>
      </c>
      <c r="E1178" s="191">
        <v>0</v>
      </c>
      <c r="F1178" s="193">
        <v>4430</v>
      </c>
      <c r="G1178" s="191">
        <v>0</v>
      </c>
      <c r="H1178" s="191">
        <v>0</v>
      </c>
      <c r="I1178" s="191">
        <v>0</v>
      </c>
      <c r="J1178" s="191">
        <v>0</v>
      </c>
      <c r="K1178" s="191">
        <v>0</v>
      </c>
      <c r="L1178" s="191">
        <v>0</v>
      </c>
      <c r="M1178" s="191">
        <v>0</v>
      </c>
      <c r="N1178" s="191">
        <v>0</v>
      </c>
      <c r="O1178" s="191">
        <v>0</v>
      </c>
      <c r="P1178" s="191">
        <v>0</v>
      </c>
    </row>
    <row r="1179" spans="1:16" x14ac:dyDescent="0.25">
      <c r="A1179" s="190">
        <v>801010402</v>
      </c>
      <c r="B1179" s="190" t="s">
        <v>407</v>
      </c>
      <c r="C1179" s="190">
        <v>3781</v>
      </c>
      <c r="D1179" s="190" t="s">
        <v>408</v>
      </c>
      <c r="E1179" s="191">
        <v>0</v>
      </c>
      <c r="F1179" s="191">
        <v>0</v>
      </c>
      <c r="G1179" s="193">
        <v>14647.59</v>
      </c>
      <c r="H1179" s="193">
        <v>30492.33</v>
      </c>
      <c r="I1179" s="191">
        <v>0</v>
      </c>
      <c r="J1179" s="191">
        <v>0</v>
      </c>
      <c r="K1179" s="191">
        <v>0</v>
      </c>
      <c r="L1179" s="191">
        <v>0</v>
      </c>
      <c r="M1179" s="191">
        <v>0</v>
      </c>
      <c r="N1179" s="191">
        <v>0</v>
      </c>
      <c r="O1179" s="191">
        <v>0</v>
      </c>
      <c r="P1179" s="191">
        <v>0</v>
      </c>
    </row>
    <row r="1180" spans="1:16" x14ac:dyDescent="0.25">
      <c r="A1180" s="190">
        <v>801010402</v>
      </c>
      <c r="B1180" s="190" t="s">
        <v>410</v>
      </c>
      <c r="C1180" s="190">
        <v>3781</v>
      </c>
      <c r="D1180" s="190" t="s">
        <v>408</v>
      </c>
      <c r="E1180" s="191">
        <v>0</v>
      </c>
      <c r="F1180" s="191">
        <v>0</v>
      </c>
      <c r="G1180" s="191">
        <v>0</v>
      </c>
      <c r="H1180" s="193">
        <v>1600</v>
      </c>
      <c r="I1180" s="191">
        <v>0</v>
      </c>
      <c r="J1180" s="191">
        <v>0</v>
      </c>
      <c r="K1180" s="191">
        <v>0</v>
      </c>
      <c r="L1180" s="191">
        <v>0</v>
      </c>
      <c r="M1180" s="191">
        <v>0</v>
      </c>
      <c r="N1180" s="191">
        <v>0</v>
      </c>
      <c r="O1180" s="191">
        <v>0</v>
      </c>
      <c r="P1180" s="191">
        <v>0</v>
      </c>
    </row>
    <row r="1181" spans="1:16" x14ac:dyDescent="0.25">
      <c r="A1181" s="190">
        <v>801010402</v>
      </c>
      <c r="B1181" s="190" t="s">
        <v>411</v>
      </c>
      <c r="C1181" s="190">
        <v>3781</v>
      </c>
      <c r="D1181" s="190" t="s">
        <v>408</v>
      </c>
      <c r="E1181" s="191">
        <v>0</v>
      </c>
      <c r="F1181" s="191">
        <v>0</v>
      </c>
      <c r="G1181" s="191">
        <v>0</v>
      </c>
      <c r="H1181" s="191">
        <v>175</v>
      </c>
      <c r="I1181" s="191">
        <v>0</v>
      </c>
      <c r="J1181" s="191">
        <v>0</v>
      </c>
      <c r="K1181" s="191">
        <v>0</v>
      </c>
      <c r="L1181" s="191">
        <v>0</v>
      </c>
      <c r="M1181" s="191">
        <v>0</v>
      </c>
      <c r="N1181" s="191">
        <v>0</v>
      </c>
      <c r="O1181" s="191">
        <v>0</v>
      </c>
      <c r="P1181" s="191">
        <v>0</v>
      </c>
    </row>
    <row r="1182" spans="1:16" x14ac:dyDescent="0.25">
      <c r="A1182" s="190">
        <v>801010402</v>
      </c>
      <c r="B1182" s="190" t="s">
        <v>412</v>
      </c>
      <c r="C1182" s="190">
        <v>3781</v>
      </c>
      <c r="D1182" s="190" t="s">
        <v>408</v>
      </c>
      <c r="E1182" s="191">
        <v>0</v>
      </c>
      <c r="F1182" s="191">
        <v>0</v>
      </c>
      <c r="G1182" s="191">
        <v>0</v>
      </c>
      <c r="H1182" s="193">
        <v>1260.1500000000001</v>
      </c>
      <c r="I1182" s="191">
        <v>0</v>
      </c>
      <c r="J1182" s="191">
        <v>0</v>
      </c>
      <c r="K1182" s="191">
        <v>0</v>
      </c>
      <c r="L1182" s="191">
        <v>0</v>
      </c>
      <c r="M1182" s="191">
        <v>0</v>
      </c>
      <c r="N1182" s="191">
        <v>0</v>
      </c>
      <c r="O1182" s="191">
        <v>0</v>
      </c>
      <c r="P1182" s="191">
        <v>0</v>
      </c>
    </row>
    <row r="1183" spans="1:16" x14ac:dyDescent="0.25">
      <c r="A1183" s="190">
        <v>801010402</v>
      </c>
      <c r="B1183" s="190" t="s">
        <v>413</v>
      </c>
      <c r="C1183" s="190">
        <v>3781</v>
      </c>
      <c r="D1183" s="190" t="s">
        <v>408</v>
      </c>
      <c r="E1183" s="191">
        <v>0</v>
      </c>
      <c r="F1183" s="191">
        <v>0</v>
      </c>
      <c r="G1183" s="191">
        <v>0</v>
      </c>
      <c r="H1183" s="191">
        <v>840</v>
      </c>
      <c r="I1183" s="191">
        <v>0</v>
      </c>
      <c r="J1183" s="191">
        <v>0</v>
      </c>
      <c r="K1183" s="191">
        <v>0</v>
      </c>
      <c r="L1183" s="191">
        <v>0</v>
      </c>
      <c r="M1183" s="191">
        <v>0</v>
      </c>
      <c r="N1183" s="191">
        <v>0</v>
      </c>
      <c r="O1183" s="191">
        <v>0</v>
      </c>
      <c r="P1183" s="191">
        <v>0</v>
      </c>
    </row>
    <row r="1184" spans="1:16" x14ac:dyDescent="0.25">
      <c r="A1184" s="190">
        <v>801010402</v>
      </c>
      <c r="B1184" s="190" t="s">
        <v>414</v>
      </c>
      <c r="C1184" s="190">
        <v>3781</v>
      </c>
      <c r="D1184" s="190" t="s">
        <v>408</v>
      </c>
      <c r="E1184" s="191">
        <v>0</v>
      </c>
      <c r="F1184" s="191">
        <v>0</v>
      </c>
      <c r="G1184" s="191">
        <v>0</v>
      </c>
      <c r="H1184" s="193">
        <v>1485.05</v>
      </c>
      <c r="I1184" s="191">
        <v>0</v>
      </c>
      <c r="J1184" s="191">
        <v>0</v>
      </c>
      <c r="K1184" s="191">
        <v>0</v>
      </c>
      <c r="L1184" s="191">
        <v>0</v>
      </c>
      <c r="M1184" s="191">
        <v>0</v>
      </c>
      <c r="N1184" s="191">
        <v>0</v>
      </c>
      <c r="O1184" s="191">
        <v>0</v>
      </c>
      <c r="P1184" s="191">
        <v>0</v>
      </c>
    </row>
    <row r="1185" spans="1:16" x14ac:dyDescent="0.25">
      <c r="A1185" s="190">
        <v>801010402</v>
      </c>
      <c r="B1185" s="190" t="s">
        <v>415</v>
      </c>
      <c r="C1185" s="190">
        <v>3781</v>
      </c>
      <c r="D1185" s="190" t="s">
        <v>408</v>
      </c>
      <c r="E1185" s="191">
        <v>0</v>
      </c>
      <c r="F1185" s="191">
        <v>0</v>
      </c>
      <c r="G1185" s="191">
        <v>0</v>
      </c>
      <c r="H1185" s="191">
        <v>175</v>
      </c>
      <c r="I1185" s="191">
        <v>0</v>
      </c>
      <c r="J1185" s="191">
        <v>0</v>
      </c>
      <c r="K1185" s="191">
        <v>0</v>
      </c>
      <c r="L1185" s="191">
        <v>0</v>
      </c>
      <c r="M1185" s="191">
        <v>0</v>
      </c>
      <c r="N1185" s="191">
        <v>0</v>
      </c>
      <c r="O1185" s="191">
        <v>0</v>
      </c>
      <c r="P1185" s="191">
        <v>0</v>
      </c>
    </row>
    <row r="1186" spans="1:16" x14ac:dyDescent="0.25">
      <c r="A1186" s="190">
        <v>801010402</v>
      </c>
      <c r="B1186" s="190" t="s">
        <v>416</v>
      </c>
      <c r="C1186" s="190">
        <v>3781</v>
      </c>
      <c r="D1186" s="190" t="s">
        <v>408</v>
      </c>
      <c r="E1186" s="191">
        <v>0</v>
      </c>
      <c r="F1186" s="191">
        <v>0</v>
      </c>
      <c r="G1186" s="191">
        <v>0</v>
      </c>
      <c r="H1186" s="193">
        <v>2540</v>
      </c>
      <c r="I1186" s="191">
        <v>0</v>
      </c>
      <c r="J1186" s="191">
        <v>0</v>
      </c>
      <c r="K1186" s="191">
        <v>0</v>
      </c>
      <c r="L1186" s="191">
        <v>0</v>
      </c>
      <c r="M1186" s="191">
        <v>0</v>
      </c>
      <c r="N1186" s="191">
        <v>0</v>
      </c>
      <c r="O1186" s="191">
        <v>0</v>
      </c>
      <c r="P1186" s="191">
        <v>0</v>
      </c>
    </row>
    <row r="1187" spans="1:16" x14ac:dyDescent="0.25">
      <c r="A1187" s="190">
        <v>801010402</v>
      </c>
      <c r="B1187" s="190" t="s">
        <v>417</v>
      </c>
      <c r="C1187" s="190">
        <v>3781</v>
      </c>
      <c r="D1187" s="190" t="s">
        <v>408</v>
      </c>
      <c r="E1187" s="191">
        <v>0</v>
      </c>
      <c r="F1187" s="191">
        <v>0</v>
      </c>
      <c r="G1187" s="191">
        <v>0</v>
      </c>
      <c r="H1187" s="193">
        <v>3119</v>
      </c>
      <c r="I1187" s="191">
        <v>0</v>
      </c>
      <c r="J1187" s="191">
        <v>0</v>
      </c>
      <c r="K1187" s="191">
        <v>0</v>
      </c>
      <c r="L1187" s="191">
        <v>0</v>
      </c>
      <c r="M1187" s="191">
        <v>0</v>
      </c>
      <c r="N1187" s="191">
        <v>0</v>
      </c>
      <c r="O1187" s="191">
        <v>0</v>
      </c>
      <c r="P1187" s="191">
        <v>0</v>
      </c>
    </row>
    <row r="1188" spans="1:16" x14ac:dyDescent="0.25">
      <c r="A1188" s="190">
        <v>801010402</v>
      </c>
      <c r="B1188" s="190" t="s">
        <v>419</v>
      </c>
      <c r="C1188" s="190">
        <v>3781</v>
      </c>
      <c r="D1188" s="190" t="s">
        <v>408</v>
      </c>
      <c r="E1188" s="191">
        <v>0</v>
      </c>
      <c r="F1188" s="191">
        <v>0</v>
      </c>
      <c r="G1188" s="191">
        <v>0</v>
      </c>
      <c r="H1188" s="191">
        <v>928</v>
      </c>
      <c r="I1188" s="191">
        <v>0</v>
      </c>
      <c r="J1188" s="191">
        <v>0</v>
      </c>
      <c r="K1188" s="191">
        <v>0</v>
      </c>
      <c r="L1188" s="191">
        <v>0</v>
      </c>
      <c r="M1188" s="191">
        <v>0</v>
      </c>
      <c r="N1188" s="191">
        <v>0</v>
      </c>
      <c r="O1188" s="191">
        <v>0</v>
      </c>
      <c r="P1188" s="191">
        <v>0</v>
      </c>
    </row>
    <row r="1189" spans="1:16" x14ac:dyDescent="0.25">
      <c r="A1189" s="190">
        <v>801010402</v>
      </c>
      <c r="B1189" s="190" t="s">
        <v>421</v>
      </c>
      <c r="C1189" s="190">
        <v>3781</v>
      </c>
      <c r="D1189" s="190" t="s">
        <v>408</v>
      </c>
      <c r="E1189" s="191">
        <v>0</v>
      </c>
      <c r="F1189" s="191">
        <v>0</v>
      </c>
      <c r="G1189" s="191">
        <v>0</v>
      </c>
      <c r="H1189" s="193">
        <v>1415</v>
      </c>
      <c r="I1189" s="191">
        <v>0</v>
      </c>
      <c r="J1189" s="191">
        <v>0</v>
      </c>
      <c r="K1189" s="191">
        <v>0</v>
      </c>
      <c r="L1189" s="191">
        <v>0</v>
      </c>
      <c r="M1189" s="191">
        <v>0</v>
      </c>
      <c r="N1189" s="191">
        <v>0</v>
      </c>
      <c r="O1189" s="191">
        <v>0</v>
      </c>
      <c r="P1189" s="191">
        <v>0</v>
      </c>
    </row>
    <row r="1190" spans="1:16" x14ac:dyDescent="0.25">
      <c r="A1190" s="190">
        <v>801010402</v>
      </c>
      <c r="B1190" s="190" t="s">
        <v>422</v>
      </c>
      <c r="C1190" s="190">
        <v>3781</v>
      </c>
      <c r="D1190" s="190" t="s">
        <v>408</v>
      </c>
      <c r="E1190" s="191">
        <v>0</v>
      </c>
      <c r="F1190" s="191">
        <v>0</v>
      </c>
      <c r="G1190" s="191">
        <v>0</v>
      </c>
      <c r="H1190" s="193">
        <v>1272</v>
      </c>
      <c r="I1190" s="191">
        <v>0</v>
      </c>
      <c r="J1190" s="191">
        <v>0</v>
      </c>
      <c r="K1190" s="191">
        <v>0</v>
      </c>
      <c r="L1190" s="191">
        <v>0</v>
      </c>
      <c r="M1190" s="191">
        <v>0</v>
      </c>
      <c r="N1190" s="191">
        <v>0</v>
      </c>
      <c r="O1190" s="191">
        <v>0</v>
      </c>
      <c r="P1190" s="191">
        <v>0</v>
      </c>
    </row>
    <row r="1191" spans="1:16" x14ac:dyDescent="0.25">
      <c r="A1191" s="190">
        <v>801010402</v>
      </c>
      <c r="B1191" s="190" t="s">
        <v>426</v>
      </c>
      <c r="C1191" s="190">
        <v>3781</v>
      </c>
      <c r="D1191" s="190" t="s">
        <v>408</v>
      </c>
      <c r="E1191" s="191">
        <v>0</v>
      </c>
      <c r="F1191" s="191">
        <v>0</v>
      </c>
      <c r="G1191" s="191">
        <v>0</v>
      </c>
      <c r="H1191" s="193">
        <v>2260.94</v>
      </c>
      <c r="I1191" s="191">
        <v>0</v>
      </c>
      <c r="J1191" s="191">
        <v>0</v>
      </c>
      <c r="K1191" s="191">
        <v>0</v>
      </c>
      <c r="L1191" s="191">
        <v>0</v>
      </c>
      <c r="M1191" s="191">
        <v>0</v>
      </c>
      <c r="N1191" s="191">
        <v>0</v>
      </c>
      <c r="O1191" s="191">
        <v>0</v>
      </c>
      <c r="P1191" s="191">
        <v>0</v>
      </c>
    </row>
    <row r="1192" spans="1:16" x14ac:dyDescent="0.25">
      <c r="A1192" s="190">
        <v>801010402</v>
      </c>
      <c r="B1192" s="190" t="s">
        <v>427</v>
      </c>
      <c r="C1192" s="190">
        <v>3781</v>
      </c>
      <c r="D1192" s="190" t="s">
        <v>408</v>
      </c>
      <c r="E1192" s="191">
        <v>0</v>
      </c>
      <c r="F1192" s="191">
        <v>0</v>
      </c>
      <c r="G1192" s="191">
        <v>0</v>
      </c>
      <c r="H1192" s="193">
        <v>1169.56</v>
      </c>
      <c r="I1192" s="191">
        <v>0</v>
      </c>
      <c r="J1192" s="191">
        <v>0</v>
      </c>
      <c r="K1192" s="191">
        <v>0</v>
      </c>
      <c r="L1192" s="191">
        <v>0</v>
      </c>
      <c r="M1192" s="191">
        <v>0</v>
      </c>
      <c r="N1192" s="191">
        <v>0</v>
      </c>
      <c r="O1192" s="191">
        <v>0</v>
      </c>
      <c r="P1192" s="191">
        <v>0</v>
      </c>
    </row>
    <row r="1193" spans="1:16" x14ac:dyDescent="0.25">
      <c r="A1193" s="190">
        <v>801010402</v>
      </c>
      <c r="B1193" s="190" t="s">
        <v>429</v>
      </c>
      <c r="C1193" s="190">
        <v>3781</v>
      </c>
      <c r="D1193" s="190" t="s">
        <v>408</v>
      </c>
      <c r="E1193" s="191">
        <v>0</v>
      </c>
      <c r="F1193" s="191">
        <v>0</v>
      </c>
      <c r="G1193" s="191">
        <v>0</v>
      </c>
      <c r="H1193" s="193">
        <v>1819.98</v>
      </c>
      <c r="I1193" s="191">
        <v>0</v>
      </c>
      <c r="J1193" s="191">
        <v>0</v>
      </c>
      <c r="K1193" s="191">
        <v>0</v>
      </c>
      <c r="L1193" s="191">
        <v>0</v>
      </c>
      <c r="M1193" s="191">
        <v>0</v>
      </c>
      <c r="N1193" s="191">
        <v>0</v>
      </c>
      <c r="O1193" s="191">
        <v>0</v>
      </c>
      <c r="P1193" s="191">
        <v>0</v>
      </c>
    </row>
    <row r="1194" spans="1:16" x14ac:dyDescent="0.25">
      <c r="A1194" s="190">
        <v>801010402</v>
      </c>
      <c r="B1194" s="190" t="s">
        <v>430</v>
      </c>
      <c r="C1194" s="190">
        <v>3781</v>
      </c>
      <c r="D1194" s="190" t="s">
        <v>408</v>
      </c>
      <c r="E1194" s="191">
        <v>0</v>
      </c>
      <c r="F1194" s="191">
        <v>0</v>
      </c>
      <c r="G1194" s="191">
        <v>0</v>
      </c>
      <c r="H1194" s="193">
        <v>8990.5400000000009</v>
      </c>
      <c r="I1194" s="191">
        <v>0</v>
      </c>
      <c r="J1194" s="191">
        <v>0</v>
      </c>
      <c r="K1194" s="191">
        <v>0</v>
      </c>
      <c r="L1194" s="191">
        <v>0</v>
      </c>
      <c r="M1194" s="191">
        <v>0</v>
      </c>
      <c r="N1194" s="191">
        <v>0</v>
      </c>
      <c r="O1194" s="191">
        <v>0</v>
      </c>
      <c r="P1194" s="191">
        <v>0</v>
      </c>
    </row>
    <row r="1195" spans="1:16" x14ac:dyDescent="0.25">
      <c r="A1195" s="190">
        <v>801010402</v>
      </c>
      <c r="B1195" s="190" t="s">
        <v>431</v>
      </c>
      <c r="C1195" s="190">
        <v>3781</v>
      </c>
      <c r="D1195" s="190" t="s">
        <v>408</v>
      </c>
      <c r="E1195" s="191">
        <v>0</v>
      </c>
      <c r="F1195" s="191">
        <v>0</v>
      </c>
      <c r="G1195" s="191">
        <v>0</v>
      </c>
      <c r="H1195" s="193">
        <v>1435</v>
      </c>
      <c r="I1195" s="191">
        <v>0</v>
      </c>
      <c r="J1195" s="191">
        <v>0</v>
      </c>
      <c r="K1195" s="191">
        <v>0</v>
      </c>
      <c r="L1195" s="191">
        <v>0</v>
      </c>
      <c r="M1195" s="191">
        <v>0</v>
      </c>
      <c r="N1195" s="191">
        <v>0</v>
      </c>
      <c r="O1195" s="191">
        <v>0</v>
      </c>
      <c r="P1195" s="191">
        <v>0</v>
      </c>
    </row>
    <row r="1196" spans="1:16" x14ac:dyDescent="0.25">
      <c r="A1196" s="190">
        <v>801010402</v>
      </c>
      <c r="B1196" s="190" t="s">
        <v>432</v>
      </c>
      <c r="C1196" s="190">
        <v>3781</v>
      </c>
      <c r="D1196" s="190" t="s">
        <v>408</v>
      </c>
      <c r="E1196" s="191">
        <v>0</v>
      </c>
      <c r="F1196" s="191">
        <v>0</v>
      </c>
      <c r="G1196" s="191">
        <v>0</v>
      </c>
      <c r="H1196" s="193">
        <v>2573.0100000000002</v>
      </c>
      <c r="I1196" s="191">
        <v>0</v>
      </c>
      <c r="J1196" s="191">
        <v>0</v>
      </c>
      <c r="K1196" s="191">
        <v>0</v>
      </c>
      <c r="L1196" s="191">
        <v>0</v>
      </c>
      <c r="M1196" s="191">
        <v>0</v>
      </c>
      <c r="N1196" s="191">
        <v>0</v>
      </c>
      <c r="O1196" s="191">
        <v>0</v>
      </c>
      <c r="P1196" s="191">
        <v>0</v>
      </c>
    </row>
    <row r="1197" spans="1:16" x14ac:dyDescent="0.25">
      <c r="A1197" s="190">
        <v>801010402</v>
      </c>
      <c r="B1197" s="190" t="s">
        <v>433</v>
      </c>
      <c r="C1197" s="190">
        <v>3781</v>
      </c>
      <c r="D1197" s="190" t="s">
        <v>408</v>
      </c>
      <c r="E1197" s="191">
        <v>0</v>
      </c>
      <c r="F1197" s="191">
        <v>0</v>
      </c>
      <c r="G1197" s="191">
        <v>0</v>
      </c>
      <c r="H1197" s="191">
        <v>607</v>
      </c>
      <c r="I1197" s="191">
        <v>0</v>
      </c>
      <c r="J1197" s="191">
        <v>0</v>
      </c>
      <c r="K1197" s="191">
        <v>0</v>
      </c>
      <c r="L1197" s="191">
        <v>0</v>
      </c>
      <c r="M1197" s="191">
        <v>0</v>
      </c>
      <c r="N1197" s="191">
        <v>0</v>
      </c>
      <c r="O1197" s="191">
        <v>0</v>
      </c>
      <c r="P1197" s="191">
        <v>0</v>
      </c>
    </row>
    <row r="1198" spans="1:16" x14ac:dyDescent="0.25">
      <c r="A1198" s="190">
        <v>801010402</v>
      </c>
      <c r="B1198" s="190" t="s">
        <v>434</v>
      </c>
      <c r="C1198" s="190">
        <v>3781</v>
      </c>
      <c r="D1198" s="190" t="s">
        <v>408</v>
      </c>
      <c r="E1198" s="191">
        <v>0</v>
      </c>
      <c r="F1198" s="191">
        <v>0</v>
      </c>
      <c r="G1198" s="191">
        <v>0</v>
      </c>
      <c r="H1198" s="191">
        <v>455</v>
      </c>
      <c r="I1198" s="191">
        <v>0</v>
      </c>
      <c r="J1198" s="191">
        <v>0</v>
      </c>
      <c r="K1198" s="191">
        <v>0</v>
      </c>
      <c r="L1198" s="191">
        <v>0</v>
      </c>
      <c r="M1198" s="191">
        <v>0</v>
      </c>
      <c r="N1198" s="191">
        <v>0</v>
      </c>
      <c r="O1198" s="191">
        <v>0</v>
      </c>
      <c r="P1198" s="191">
        <v>0</v>
      </c>
    </row>
    <row r="1199" spans="1:16" x14ac:dyDescent="0.25">
      <c r="A1199" s="190">
        <v>801010402</v>
      </c>
      <c r="B1199" s="190" t="s">
        <v>435</v>
      </c>
      <c r="C1199" s="190">
        <v>3781</v>
      </c>
      <c r="D1199" s="190" t="s">
        <v>408</v>
      </c>
      <c r="E1199" s="191">
        <v>0</v>
      </c>
      <c r="F1199" s="191">
        <v>0</v>
      </c>
      <c r="G1199" s="191">
        <v>0</v>
      </c>
      <c r="H1199" s="191">
        <v>38.299999999999997</v>
      </c>
      <c r="I1199" s="191">
        <v>0</v>
      </c>
      <c r="J1199" s="191">
        <v>0</v>
      </c>
      <c r="K1199" s="191">
        <v>0</v>
      </c>
      <c r="L1199" s="191">
        <v>0</v>
      </c>
      <c r="M1199" s="191">
        <v>0</v>
      </c>
      <c r="N1199" s="191">
        <v>0</v>
      </c>
      <c r="O1199" s="191">
        <v>0</v>
      </c>
      <c r="P1199" s="191">
        <v>0</v>
      </c>
    </row>
    <row r="1200" spans="1:16" x14ac:dyDescent="0.25">
      <c r="A1200" s="190">
        <v>801010402</v>
      </c>
      <c r="B1200" s="190" t="s">
        <v>436</v>
      </c>
      <c r="C1200" s="190">
        <v>3781</v>
      </c>
      <c r="D1200" s="190" t="s">
        <v>408</v>
      </c>
      <c r="E1200" s="191">
        <v>0</v>
      </c>
      <c r="F1200" s="191">
        <v>0</v>
      </c>
      <c r="G1200" s="191">
        <v>0</v>
      </c>
      <c r="H1200" s="193">
        <v>1511</v>
      </c>
      <c r="I1200" s="191">
        <v>0</v>
      </c>
      <c r="J1200" s="191">
        <v>0</v>
      </c>
      <c r="K1200" s="191">
        <v>0</v>
      </c>
      <c r="L1200" s="191">
        <v>0</v>
      </c>
      <c r="M1200" s="191">
        <v>0</v>
      </c>
      <c r="N1200" s="191">
        <v>0</v>
      </c>
      <c r="O1200" s="191">
        <v>0</v>
      </c>
      <c r="P1200" s="191">
        <v>0</v>
      </c>
    </row>
    <row r="1201" spans="1:16" x14ac:dyDescent="0.25">
      <c r="A1201" s="190">
        <v>801010402</v>
      </c>
      <c r="B1201" s="190" t="s">
        <v>437</v>
      </c>
      <c r="C1201" s="190">
        <v>3781</v>
      </c>
      <c r="D1201" s="190" t="s">
        <v>408</v>
      </c>
      <c r="E1201" s="191">
        <v>0</v>
      </c>
      <c r="F1201" s="191">
        <v>0</v>
      </c>
      <c r="G1201" s="191">
        <v>0</v>
      </c>
      <c r="H1201" s="193">
        <v>21568.65</v>
      </c>
      <c r="I1201" s="191">
        <v>0</v>
      </c>
      <c r="J1201" s="191">
        <v>0</v>
      </c>
      <c r="K1201" s="191">
        <v>0</v>
      </c>
      <c r="L1201" s="191">
        <v>0</v>
      </c>
      <c r="M1201" s="191">
        <v>0</v>
      </c>
      <c r="N1201" s="191">
        <v>0</v>
      </c>
      <c r="O1201" s="191">
        <v>0</v>
      </c>
      <c r="P1201" s="191">
        <v>0</v>
      </c>
    </row>
    <row r="1202" spans="1:16" x14ac:dyDescent="0.25">
      <c r="A1202" s="190">
        <v>801010402</v>
      </c>
      <c r="B1202" s="190" t="s">
        <v>407</v>
      </c>
      <c r="C1202" s="190">
        <v>3791</v>
      </c>
      <c r="D1202" s="190" t="s">
        <v>408</v>
      </c>
      <c r="E1202" s="191">
        <v>0</v>
      </c>
      <c r="F1202" s="191">
        <v>0</v>
      </c>
      <c r="G1202" s="191">
        <v>0</v>
      </c>
      <c r="H1202" s="191">
        <v>0</v>
      </c>
      <c r="I1202" s="191">
        <v>0</v>
      </c>
      <c r="J1202" s="191">
        <v>0</v>
      </c>
      <c r="K1202" s="191">
        <v>0</v>
      </c>
      <c r="L1202" s="193">
        <v>16380</v>
      </c>
      <c r="M1202" s="191">
        <v>0</v>
      </c>
      <c r="N1202" s="191">
        <v>0</v>
      </c>
      <c r="O1202" s="191">
        <v>0</v>
      </c>
      <c r="P1202" s="191">
        <v>0</v>
      </c>
    </row>
    <row r="1203" spans="1:16" x14ac:dyDescent="0.25">
      <c r="A1203" s="190">
        <v>801010402</v>
      </c>
      <c r="B1203" s="190" t="s">
        <v>417</v>
      </c>
      <c r="C1203" s="190">
        <v>3791</v>
      </c>
      <c r="D1203" s="190" t="s">
        <v>408</v>
      </c>
      <c r="E1203" s="191">
        <v>0</v>
      </c>
      <c r="F1203" s="191">
        <v>0</v>
      </c>
      <c r="G1203" s="191">
        <v>0</v>
      </c>
      <c r="H1203" s="191">
        <v>0</v>
      </c>
      <c r="I1203" s="191">
        <v>0</v>
      </c>
      <c r="J1203" s="191">
        <v>0</v>
      </c>
      <c r="K1203" s="191">
        <v>0</v>
      </c>
      <c r="L1203" s="193">
        <v>1953</v>
      </c>
      <c r="M1203" s="191">
        <v>0</v>
      </c>
      <c r="N1203" s="191">
        <v>0</v>
      </c>
      <c r="O1203" s="191">
        <v>0</v>
      </c>
      <c r="P1203" s="191">
        <v>0</v>
      </c>
    </row>
    <row r="1204" spans="1:16" x14ac:dyDescent="0.25">
      <c r="A1204" s="190">
        <v>801010402</v>
      </c>
      <c r="B1204" s="190" t="s">
        <v>413</v>
      </c>
      <c r="C1204" s="190">
        <v>3811</v>
      </c>
      <c r="D1204" s="190" t="s">
        <v>408</v>
      </c>
      <c r="E1204" s="191">
        <v>0</v>
      </c>
      <c r="F1204" s="191">
        <v>0</v>
      </c>
      <c r="G1204" s="191">
        <v>0</v>
      </c>
      <c r="H1204" s="193">
        <v>15265</v>
      </c>
      <c r="I1204" s="191">
        <v>0</v>
      </c>
      <c r="J1204" s="191">
        <v>0</v>
      </c>
      <c r="K1204" s="191">
        <v>0</v>
      </c>
      <c r="L1204" s="191">
        <v>0</v>
      </c>
      <c r="M1204" s="191">
        <v>0</v>
      </c>
      <c r="N1204" s="191">
        <v>0</v>
      </c>
      <c r="O1204" s="191">
        <v>0</v>
      </c>
      <c r="P1204" s="191">
        <v>0</v>
      </c>
    </row>
    <row r="1205" spans="1:16" x14ac:dyDescent="0.25">
      <c r="A1205" s="190">
        <v>801010402</v>
      </c>
      <c r="B1205" s="190" t="s">
        <v>419</v>
      </c>
      <c r="C1205" s="190">
        <v>3811</v>
      </c>
      <c r="D1205" s="190" t="s">
        <v>408</v>
      </c>
      <c r="E1205" s="191">
        <v>0</v>
      </c>
      <c r="F1205" s="191">
        <v>0</v>
      </c>
      <c r="G1205" s="191">
        <v>0</v>
      </c>
      <c r="H1205" s="193">
        <v>1925</v>
      </c>
      <c r="I1205" s="191">
        <v>0</v>
      </c>
      <c r="J1205" s="191">
        <v>0</v>
      </c>
      <c r="K1205" s="191">
        <v>0</v>
      </c>
      <c r="L1205" s="191">
        <v>0</v>
      </c>
      <c r="M1205" s="191">
        <v>0</v>
      </c>
      <c r="N1205" s="191">
        <v>0</v>
      </c>
      <c r="O1205" s="191">
        <v>0</v>
      </c>
      <c r="P1205" s="191">
        <v>0</v>
      </c>
    </row>
    <row r="1206" spans="1:16" x14ac:dyDescent="0.25">
      <c r="A1206" s="190">
        <v>801010402</v>
      </c>
      <c r="B1206" s="190" t="s">
        <v>424</v>
      </c>
      <c r="C1206" s="190">
        <v>3811</v>
      </c>
      <c r="D1206" s="190" t="s">
        <v>408</v>
      </c>
      <c r="E1206" s="191">
        <v>0</v>
      </c>
      <c r="F1206" s="191">
        <v>0</v>
      </c>
      <c r="G1206" s="191">
        <v>0</v>
      </c>
      <c r="H1206" s="193">
        <v>7500</v>
      </c>
      <c r="I1206" s="191">
        <v>0</v>
      </c>
      <c r="J1206" s="191">
        <v>0</v>
      </c>
      <c r="K1206" s="191">
        <v>0</v>
      </c>
      <c r="L1206" s="191">
        <v>0</v>
      </c>
      <c r="M1206" s="191">
        <v>0</v>
      </c>
      <c r="N1206" s="191">
        <v>0</v>
      </c>
      <c r="O1206" s="191">
        <v>0</v>
      </c>
      <c r="P1206" s="191">
        <v>0</v>
      </c>
    </row>
    <row r="1207" spans="1:16" x14ac:dyDescent="0.25">
      <c r="A1207" s="190">
        <v>801010402</v>
      </c>
      <c r="B1207" s="190" t="s">
        <v>407</v>
      </c>
      <c r="C1207" s="190">
        <v>3821</v>
      </c>
      <c r="D1207" s="190" t="s">
        <v>408</v>
      </c>
      <c r="E1207" s="191">
        <v>0</v>
      </c>
      <c r="F1207" s="191">
        <v>0</v>
      </c>
      <c r="G1207" s="191">
        <v>0</v>
      </c>
      <c r="H1207" s="193">
        <v>15204</v>
      </c>
      <c r="I1207" s="191">
        <v>0</v>
      </c>
      <c r="J1207" s="193">
        <v>3200</v>
      </c>
      <c r="K1207" s="191">
        <v>0</v>
      </c>
      <c r="L1207" s="191">
        <v>0</v>
      </c>
      <c r="M1207" s="191">
        <v>0</v>
      </c>
      <c r="N1207" s="193">
        <v>20346.400000000001</v>
      </c>
      <c r="O1207" s="191">
        <v>0</v>
      </c>
      <c r="P1207" s="191">
        <v>0</v>
      </c>
    </row>
    <row r="1208" spans="1:16" x14ac:dyDescent="0.25">
      <c r="A1208" s="190">
        <v>801010402</v>
      </c>
      <c r="B1208" s="190" t="s">
        <v>410</v>
      </c>
      <c r="C1208" s="190">
        <v>3821</v>
      </c>
      <c r="D1208" s="190" t="s">
        <v>408</v>
      </c>
      <c r="E1208" s="191">
        <v>0</v>
      </c>
      <c r="F1208" s="191">
        <v>0</v>
      </c>
      <c r="G1208" s="191">
        <v>0</v>
      </c>
      <c r="H1208" s="191">
        <v>0</v>
      </c>
      <c r="I1208" s="191">
        <v>0</v>
      </c>
      <c r="J1208" s="193">
        <v>5104</v>
      </c>
      <c r="K1208" s="191">
        <v>0</v>
      </c>
      <c r="L1208" s="191">
        <v>0</v>
      </c>
      <c r="M1208" s="191">
        <v>0</v>
      </c>
      <c r="N1208" s="191">
        <v>0</v>
      </c>
      <c r="O1208" s="191">
        <v>0</v>
      </c>
      <c r="P1208" s="191">
        <v>0</v>
      </c>
    </row>
    <row r="1209" spans="1:16" x14ac:dyDescent="0.25">
      <c r="A1209" s="190">
        <v>801010402</v>
      </c>
      <c r="B1209" s="190" t="s">
        <v>411</v>
      </c>
      <c r="C1209" s="190">
        <v>3821</v>
      </c>
      <c r="D1209" s="190" t="s">
        <v>408</v>
      </c>
      <c r="E1209" s="191">
        <v>0</v>
      </c>
      <c r="F1209" s="191">
        <v>0</v>
      </c>
      <c r="G1209" s="191">
        <v>0</v>
      </c>
      <c r="H1209" s="191">
        <v>0</v>
      </c>
      <c r="I1209" s="193">
        <v>6414.4</v>
      </c>
      <c r="J1209" s="191">
        <v>0</v>
      </c>
      <c r="K1209" s="191">
        <v>0</v>
      </c>
      <c r="L1209" s="191">
        <v>0</v>
      </c>
      <c r="M1209" s="191">
        <v>0</v>
      </c>
      <c r="N1209" s="191">
        <v>0</v>
      </c>
      <c r="O1209" s="191">
        <v>0</v>
      </c>
      <c r="P1209" s="191">
        <v>0</v>
      </c>
    </row>
    <row r="1210" spans="1:16" x14ac:dyDescent="0.25">
      <c r="A1210" s="190">
        <v>801010402</v>
      </c>
      <c r="B1210" s="190" t="s">
        <v>412</v>
      </c>
      <c r="C1210" s="190">
        <v>3821</v>
      </c>
      <c r="D1210" s="190" t="s">
        <v>408</v>
      </c>
      <c r="E1210" s="191">
        <v>0</v>
      </c>
      <c r="F1210" s="191">
        <v>0</v>
      </c>
      <c r="G1210" s="191">
        <v>0</v>
      </c>
      <c r="H1210" s="191">
        <v>0</v>
      </c>
      <c r="I1210" s="191">
        <v>0</v>
      </c>
      <c r="J1210" s="193">
        <v>13819.2</v>
      </c>
      <c r="K1210" s="191">
        <v>0</v>
      </c>
      <c r="L1210" s="191">
        <v>0</v>
      </c>
      <c r="M1210" s="191">
        <v>0</v>
      </c>
      <c r="N1210" s="191">
        <v>0</v>
      </c>
      <c r="O1210" s="191">
        <v>0</v>
      </c>
      <c r="P1210" s="191">
        <v>638</v>
      </c>
    </row>
    <row r="1211" spans="1:16" x14ac:dyDescent="0.25">
      <c r="A1211" s="190">
        <v>801010402</v>
      </c>
      <c r="B1211" s="190" t="s">
        <v>413</v>
      </c>
      <c r="C1211" s="190">
        <v>3821</v>
      </c>
      <c r="D1211" s="190" t="s">
        <v>408</v>
      </c>
      <c r="E1211" s="191">
        <v>0</v>
      </c>
      <c r="F1211" s="191">
        <v>0</v>
      </c>
      <c r="G1211" s="191">
        <v>0</v>
      </c>
      <c r="H1211" s="191">
        <v>0</v>
      </c>
      <c r="I1211" s="191">
        <v>0</v>
      </c>
      <c r="J1211" s="193">
        <v>3654</v>
      </c>
      <c r="K1211" s="191">
        <v>0</v>
      </c>
      <c r="L1211" s="191">
        <v>0</v>
      </c>
      <c r="M1211" s="191">
        <v>0</v>
      </c>
      <c r="N1211" s="191">
        <v>0</v>
      </c>
      <c r="O1211" s="191">
        <v>0</v>
      </c>
      <c r="P1211" s="191">
        <v>0</v>
      </c>
    </row>
    <row r="1212" spans="1:16" x14ac:dyDescent="0.25">
      <c r="A1212" s="190">
        <v>801010402</v>
      </c>
      <c r="B1212" s="190" t="s">
        <v>414</v>
      </c>
      <c r="C1212" s="190">
        <v>3821</v>
      </c>
      <c r="D1212" s="190" t="s">
        <v>408</v>
      </c>
      <c r="E1212" s="191">
        <v>0</v>
      </c>
      <c r="F1212" s="191">
        <v>0</v>
      </c>
      <c r="G1212" s="191">
        <v>0</v>
      </c>
      <c r="H1212" s="193">
        <v>15000</v>
      </c>
      <c r="I1212" s="191">
        <v>0</v>
      </c>
      <c r="J1212" s="193">
        <v>11178</v>
      </c>
      <c r="K1212" s="191">
        <v>0</v>
      </c>
      <c r="L1212" s="191">
        <v>0</v>
      </c>
      <c r="M1212" s="191">
        <v>0</v>
      </c>
      <c r="N1212" s="191">
        <v>0</v>
      </c>
      <c r="O1212" s="191">
        <v>0</v>
      </c>
      <c r="P1212" s="191">
        <v>0</v>
      </c>
    </row>
    <row r="1213" spans="1:16" x14ac:dyDescent="0.25">
      <c r="A1213" s="190">
        <v>801010402</v>
      </c>
      <c r="B1213" s="190" t="s">
        <v>415</v>
      </c>
      <c r="C1213" s="190">
        <v>3821</v>
      </c>
      <c r="D1213" s="190" t="s">
        <v>408</v>
      </c>
      <c r="E1213" s="191">
        <v>0</v>
      </c>
      <c r="F1213" s="191">
        <v>0</v>
      </c>
      <c r="G1213" s="191">
        <v>0</v>
      </c>
      <c r="H1213" s="193">
        <v>3000</v>
      </c>
      <c r="I1213" s="193">
        <v>2250</v>
      </c>
      <c r="J1213" s="191">
        <v>0</v>
      </c>
      <c r="K1213" s="191">
        <v>0</v>
      </c>
      <c r="L1213" s="191">
        <v>0</v>
      </c>
      <c r="M1213" s="191">
        <v>0</v>
      </c>
      <c r="N1213" s="191">
        <v>0</v>
      </c>
      <c r="O1213" s="191">
        <v>0</v>
      </c>
      <c r="P1213" s="191">
        <v>0</v>
      </c>
    </row>
    <row r="1214" spans="1:16" x14ac:dyDescent="0.25">
      <c r="A1214" s="190">
        <v>801010402</v>
      </c>
      <c r="B1214" s="190" t="s">
        <v>416</v>
      </c>
      <c r="C1214" s="190">
        <v>3821</v>
      </c>
      <c r="D1214" s="190" t="s">
        <v>408</v>
      </c>
      <c r="E1214" s="191">
        <v>0</v>
      </c>
      <c r="F1214" s="191">
        <v>0</v>
      </c>
      <c r="G1214" s="191">
        <v>0</v>
      </c>
      <c r="H1214" s="193">
        <v>5949.4</v>
      </c>
      <c r="I1214" s="191">
        <v>0</v>
      </c>
      <c r="J1214" s="193">
        <v>7185.2</v>
      </c>
      <c r="K1214" s="191">
        <v>0</v>
      </c>
      <c r="L1214" s="191">
        <v>0</v>
      </c>
      <c r="M1214" s="191">
        <v>0</v>
      </c>
      <c r="N1214" s="191">
        <v>0</v>
      </c>
      <c r="O1214" s="191">
        <v>0</v>
      </c>
      <c r="P1214" s="191">
        <v>0</v>
      </c>
    </row>
    <row r="1215" spans="1:16" x14ac:dyDescent="0.25">
      <c r="A1215" s="190">
        <v>801010402</v>
      </c>
      <c r="B1215" s="190" t="s">
        <v>417</v>
      </c>
      <c r="C1215" s="190">
        <v>3821</v>
      </c>
      <c r="D1215" s="190" t="s">
        <v>408</v>
      </c>
      <c r="E1215" s="191">
        <v>0</v>
      </c>
      <c r="F1215" s="191">
        <v>0</v>
      </c>
      <c r="G1215" s="191">
        <v>0</v>
      </c>
      <c r="H1215" s="191">
        <v>0</v>
      </c>
      <c r="I1215" s="193">
        <v>10000</v>
      </c>
      <c r="J1215" s="193">
        <v>5000</v>
      </c>
      <c r="K1215" s="191">
        <v>0</v>
      </c>
      <c r="L1215" s="191">
        <v>0</v>
      </c>
      <c r="M1215" s="191">
        <v>0</v>
      </c>
      <c r="N1215" s="191">
        <v>0</v>
      </c>
      <c r="O1215" s="191">
        <v>0</v>
      </c>
      <c r="P1215" s="191">
        <v>0</v>
      </c>
    </row>
    <row r="1216" spans="1:16" x14ac:dyDescent="0.25">
      <c r="A1216" s="190">
        <v>801010402</v>
      </c>
      <c r="B1216" s="190" t="s">
        <v>419</v>
      </c>
      <c r="C1216" s="190">
        <v>3821</v>
      </c>
      <c r="D1216" s="190" t="s">
        <v>408</v>
      </c>
      <c r="E1216" s="191">
        <v>0</v>
      </c>
      <c r="F1216" s="191">
        <v>0</v>
      </c>
      <c r="G1216" s="191">
        <v>0</v>
      </c>
      <c r="H1216" s="191">
        <v>0</v>
      </c>
      <c r="I1216" s="191">
        <v>0</v>
      </c>
      <c r="J1216" s="193">
        <v>5034.3999999999996</v>
      </c>
      <c r="K1216" s="191">
        <v>0</v>
      </c>
      <c r="L1216" s="191">
        <v>0</v>
      </c>
      <c r="M1216" s="193">
        <v>2088</v>
      </c>
      <c r="N1216" s="191">
        <v>0</v>
      </c>
      <c r="O1216" s="191">
        <v>0</v>
      </c>
      <c r="P1216" s="191">
        <v>0</v>
      </c>
    </row>
    <row r="1217" spans="1:16" x14ac:dyDescent="0.25">
      <c r="A1217" s="190">
        <v>801010402</v>
      </c>
      <c r="B1217" s="190" t="s">
        <v>420</v>
      </c>
      <c r="C1217" s="190">
        <v>3821</v>
      </c>
      <c r="D1217" s="190" t="s">
        <v>408</v>
      </c>
      <c r="E1217" s="191">
        <v>0</v>
      </c>
      <c r="F1217" s="191">
        <v>0</v>
      </c>
      <c r="G1217" s="191">
        <v>0</v>
      </c>
      <c r="H1217" s="191">
        <v>0</v>
      </c>
      <c r="I1217" s="193">
        <v>4070</v>
      </c>
      <c r="J1217" s="193">
        <v>4070</v>
      </c>
      <c r="K1217" s="191">
        <v>0</v>
      </c>
      <c r="L1217" s="191">
        <v>0</v>
      </c>
      <c r="M1217" s="191">
        <v>0</v>
      </c>
      <c r="N1217" s="191">
        <v>0</v>
      </c>
      <c r="O1217" s="191">
        <v>0</v>
      </c>
      <c r="P1217" s="191">
        <v>0</v>
      </c>
    </row>
    <row r="1218" spans="1:16" x14ac:dyDescent="0.25">
      <c r="A1218" s="190">
        <v>801010402</v>
      </c>
      <c r="B1218" s="190" t="s">
        <v>421</v>
      </c>
      <c r="C1218" s="190">
        <v>3821</v>
      </c>
      <c r="D1218" s="190" t="s">
        <v>408</v>
      </c>
      <c r="E1218" s="191">
        <v>0</v>
      </c>
      <c r="F1218" s="191">
        <v>0</v>
      </c>
      <c r="G1218" s="191">
        <v>0</v>
      </c>
      <c r="H1218" s="191">
        <v>0</v>
      </c>
      <c r="I1218" s="193">
        <v>3944</v>
      </c>
      <c r="J1218" s="191">
        <v>0</v>
      </c>
      <c r="K1218" s="191">
        <v>0</v>
      </c>
      <c r="L1218" s="191">
        <v>0</v>
      </c>
      <c r="M1218" s="191">
        <v>0</v>
      </c>
      <c r="N1218" s="191">
        <v>0</v>
      </c>
      <c r="O1218" s="191">
        <v>0</v>
      </c>
      <c r="P1218" s="191">
        <v>0</v>
      </c>
    </row>
    <row r="1219" spans="1:16" x14ac:dyDescent="0.25">
      <c r="A1219" s="190">
        <v>801010402</v>
      </c>
      <c r="B1219" s="190" t="s">
        <v>422</v>
      </c>
      <c r="C1219" s="190">
        <v>3821</v>
      </c>
      <c r="D1219" s="190" t="s">
        <v>408</v>
      </c>
      <c r="E1219" s="191">
        <v>0</v>
      </c>
      <c r="F1219" s="191">
        <v>0</v>
      </c>
      <c r="G1219" s="191">
        <v>0</v>
      </c>
      <c r="H1219" s="191">
        <v>0</v>
      </c>
      <c r="I1219" s="191">
        <v>0</v>
      </c>
      <c r="J1219" s="193">
        <v>9280</v>
      </c>
      <c r="K1219" s="191">
        <v>0</v>
      </c>
      <c r="L1219" s="193">
        <v>10158</v>
      </c>
      <c r="M1219" s="191">
        <v>0</v>
      </c>
      <c r="N1219" s="191">
        <v>0</v>
      </c>
      <c r="O1219" s="191">
        <v>0</v>
      </c>
      <c r="P1219" s="191">
        <v>0</v>
      </c>
    </row>
    <row r="1220" spans="1:16" x14ac:dyDescent="0.25">
      <c r="A1220" s="190">
        <v>801010402</v>
      </c>
      <c r="B1220" s="190" t="s">
        <v>423</v>
      </c>
      <c r="C1220" s="190">
        <v>3821</v>
      </c>
      <c r="D1220" s="190" t="s">
        <v>408</v>
      </c>
      <c r="E1220" s="191">
        <v>0</v>
      </c>
      <c r="F1220" s="191">
        <v>0</v>
      </c>
      <c r="G1220" s="191">
        <v>0</v>
      </c>
      <c r="H1220" s="193">
        <v>17949</v>
      </c>
      <c r="I1220" s="193">
        <v>4036.8</v>
      </c>
      <c r="J1220" s="191">
        <v>0</v>
      </c>
      <c r="K1220" s="191">
        <v>0</v>
      </c>
      <c r="L1220" s="191">
        <v>0</v>
      </c>
      <c r="M1220" s="191">
        <v>0</v>
      </c>
      <c r="N1220" s="191">
        <v>0</v>
      </c>
      <c r="O1220" s="191">
        <v>0</v>
      </c>
      <c r="P1220" s="191">
        <v>0</v>
      </c>
    </row>
    <row r="1221" spans="1:16" x14ac:dyDescent="0.25">
      <c r="A1221" s="190">
        <v>801010402</v>
      </c>
      <c r="B1221" s="190" t="s">
        <v>424</v>
      </c>
      <c r="C1221" s="190">
        <v>3821</v>
      </c>
      <c r="D1221" s="190" t="s">
        <v>408</v>
      </c>
      <c r="E1221" s="191">
        <v>0</v>
      </c>
      <c r="F1221" s="191">
        <v>0</v>
      </c>
      <c r="G1221" s="191">
        <v>0</v>
      </c>
      <c r="H1221" s="191">
        <v>0</v>
      </c>
      <c r="I1221" s="191">
        <v>0</v>
      </c>
      <c r="J1221" s="193">
        <v>3758.4</v>
      </c>
      <c r="K1221" s="191">
        <v>0</v>
      </c>
      <c r="L1221" s="191">
        <v>0</v>
      </c>
      <c r="M1221" s="191">
        <v>0</v>
      </c>
      <c r="N1221" s="191">
        <v>0</v>
      </c>
      <c r="O1221" s="191">
        <v>0</v>
      </c>
      <c r="P1221" s="191">
        <v>0</v>
      </c>
    </row>
    <row r="1222" spans="1:16" x14ac:dyDescent="0.25">
      <c r="A1222" s="190">
        <v>801010402</v>
      </c>
      <c r="B1222" s="190" t="s">
        <v>425</v>
      </c>
      <c r="C1222" s="190">
        <v>3821</v>
      </c>
      <c r="D1222" s="190" t="s">
        <v>408</v>
      </c>
      <c r="E1222" s="191">
        <v>0</v>
      </c>
      <c r="F1222" s="191">
        <v>0</v>
      </c>
      <c r="G1222" s="191">
        <v>0</v>
      </c>
      <c r="H1222" s="191">
        <v>0</v>
      </c>
      <c r="I1222" s="191">
        <v>0</v>
      </c>
      <c r="J1222" s="191">
        <v>0</v>
      </c>
      <c r="K1222" s="191">
        <v>0</v>
      </c>
      <c r="L1222" s="191">
        <v>0</v>
      </c>
      <c r="M1222" s="191">
        <v>0</v>
      </c>
      <c r="N1222" s="193">
        <v>6217</v>
      </c>
      <c r="O1222" s="193">
        <v>1102</v>
      </c>
      <c r="P1222" s="191">
        <v>0</v>
      </c>
    </row>
    <row r="1223" spans="1:16" x14ac:dyDescent="0.25">
      <c r="A1223" s="190">
        <v>801010402</v>
      </c>
      <c r="B1223" s="190" t="s">
        <v>426</v>
      </c>
      <c r="C1223" s="190">
        <v>3821</v>
      </c>
      <c r="D1223" s="190" t="s">
        <v>408</v>
      </c>
      <c r="E1223" s="191">
        <v>0</v>
      </c>
      <c r="F1223" s="191">
        <v>0</v>
      </c>
      <c r="G1223" s="191">
        <v>0</v>
      </c>
      <c r="H1223" s="193">
        <v>9825</v>
      </c>
      <c r="I1223" s="191">
        <v>0</v>
      </c>
      <c r="J1223" s="193">
        <v>8000</v>
      </c>
      <c r="K1223" s="191">
        <v>0</v>
      </c>
      <c r="L1223" s="193">
        <v>8000</v>
      </c>
      <c r="M1223" s="193">
        <v>2088</v>
      </c>
      <c r="N1223" s="191">
        <v>0</v>
      </c>
      <c r="O1223" s="191">
        <v>0</v>
      </c>
      <c r="P1223" s="191">
        <v>0</v>
      </c>
    </row>
    <row r="1224" spans="1:16" x14ac:dyDescent="0.25">
      <c r="A1224" s="190">
        <v>801010402</v>
      </c>
      <c r="B1224" s="190" t="s">
        <v>427</v>
      </c>
      <c r="C1224" s="190">
        <v>3821</v>
      </c>
      <c r="D1224" s="190" t="s">
        <v>408</v>
      </c>
      <c r="E1224" s="191">
        <v>0</v>
      </c>
      <c r="F1224" s="191">
        <v>0</v>
      </c>
      <c r="G1224" s="191">
        <v>0</v>
      </c>
      <c r="H1224" s="191">
        <v>0</v>
      </c>
      <c r="I1224" s="191">
        <v>0</v>
      </c>
      <c r="J1224" s="193">
        <v>12450</v>
      </c>
      <c r="K1224" s="191">
        <v>0</v>
      </c>
      <c r="L1224" s="191">
        <v>0</v>
      </c>
      <c r="M1224" s="191">
        <v>0</v>
      </c>
      <c r="N1224" s="191">
        <v>0</v>
      </c>
      <c r="O1224" s="191">
        <v>0</v>
      </c>
      <c r="P1224" s="191">
        <v>0</v>
      </c>
    </row>
    <row r="1225" spans="1:16" x14ac:dyDescent="0.25">
      <c r="A1225" s="190">
        <v>801010402</v>
      </c>
      <c r="B1225" s="190" t="s">
        <v>428</v>
      </c>
      <c r="C1225" s="190">
        <v>3821</v>
      </c>
      <c r="D1225" s="190" t="s">
        <v>408</v>
      </c>
      <c r="E1225" s="191">
        <v>0</v>
      </c>
      <c r="F1225" s="191">
        <v>0</v>
      </c>
      <c r="G1225" s="191">
        <v>0</v>
      </c>
      <c r="H1225" s="191">
        <v>0</v>
      </c>
      <c r="I1225" s="193">
        <v>3016</v>
      </c>
      <c r="J1225" s="193">
        <v>5610</v>
      </c>
      <c r="K1225" s="191">
        <v>0</v>
      </c>
      <c r="L1225" s="191">
        <v>0</v>
      </c>
      <c r="M1225" s="191">
        <v>0</v>
      </c>
      <c r="N1225" s="191">
        <v>0</v>
      </c>
      <c r="O1225" s="191">
        <v>0</v>
      </c>
      <c r="P1225" s="191">
        <v>0</v>
      </c>
    </row>
    <row r="1226" spans="1:16" x14ac:dyDescent="0.25">
      <c r="A1226" s="190">
        <v>801010402</v>
      </c>
      <c r="B1226" s="190" t="s">
        <v>429</v>
      </c>
      <c r="C1226" s="190">
        <v>3821</v>
      </c>
      <c r="D1226" s="190" t="s">
        <v>408</v>
      </c>
      <c r="E1226" s="191">
        <v>0</v>
      </c>
      <c r="F1226" s="191">
        <v>0</v>
      </c>
      <c r="G1226" s="191">
        <v>0</v>
      </c>
      <c r="H1226" s="191">
        <v>0</v>
      </c>
      <c r="I1226" s="191">
        <v>0</v>
      </c>
      <c r="J1226" s="193">
        <v>2320</v>
      </c>
      <c r="K1226" s="191">
        <v>0</v>
      </c>
      <c r="L1226" s="191">
        <v>0</v>
      </c>
      <c r="M1226" s="191">
        <v>0</v>
      </c>
      <c r="N1226" s="191">
        <v>0</v>
      </c>
      <c r="O1226" s="191">
        <v>0</v>
      </c>
      <c r="P1226" s="191">
        <v>0</v>
      </c>
    </row>
    <row r="1227" spans="1:16" x14ac:dyDescent="0.25">
      <c r="A1227" s="190">
        <v>801010402</v>
      </c>
      <c r="B1227" s="190" t="s">
        <v>430</v>
      </c>
      <c r="C1227" s="190">
        <v>3821</v>
      </c>
      <c r="D1227" s="190" t="s">
        <v>408</v>
      </c>
      <c r="E1227" s="191">
        <v>0</v>
      </c>
      <c r="F1227" s="191">
        <v>0</v>
      </c>
      <c r="G1227" s="191">
        <v>0</v>
      </c>
      <c r="H1227" s="191">
        <v>0</v>
      </c>
      <c r="I1227" s="191">
        <v>0</v>
      </c>
      <c r="J1227" s="193">
        <v>4872</v>
      </c>
      <c r="K1227" s="191">
        <v>0</v>
      </c>
      <c r="L1227" s="191">
        <v>0</v>
      </c>
      <c r="M1227" s="191">
        <v>0</v>
      </c>
      <c r="N1227" s="191">
        <v>0</v>
      </c>
      <c r="O1227" s="191">
        <v>0</v>
      </c>
      <c r="P1227" s="191">
        <v>0</v>
      </c>
    </row>
    <row r="1228" spans="1:16" x14ac:dyDescent="0.25">
      <c r="A1228" s="190">
        <v>801010402</v>
      </c>
      <c r="B1228" s="190" t="s">
        <v>431</v>
      </c>
      <c r="C1228" s="190">
        <v>3821</v>
      </c>
      <c r="D1228" s="190" t="s">
        <v>408</v>
      </c>
      <c r="E1228" s="191">
        <v>0</v>
      </c>
      <c r="F1228" s="191">
        <v>0</v>
      </c>
      <c r="G1228" s="191">
        <v>0</v>
      </c>
      <c r="H1228" s="193">
        <v>30000</v>
      </c>
      <c r="I1228" s="191">
        <v>0</v>
      </c>
      <c r="J1228" s="191">
        <v>0</v>
      </c>
      <c r="K1228" s="191">
        <v>0</v>
      </c>
      <c r="L1228" s="191">
        <v>0</v>
      </c>
      <c r="M1228" s="191">
        <v>0</v>
      </c>
      <c r="N1228" s="191">
        <v>0</v>
      </c>
      <c r="O1228" s="191">
        <v>0</v>
      </c>
      <c r="P1228" s="191">
        <v>0</v>
      </c>
    </row>
    <row r="1229" spans="1:16" x14ac:dyDescent="0.25">
      <c r="A1229" s="190">
        <v>801010402</v>
      </c>
      <c r="B1229" s="190" t="s">
        <v>432</v>
      </c>
      <c r="C1229" s="190">
        <v>3821</v>
      </c>
      <c r="D1229" s="190" t="s">
        <v>408</v>
      </c>
      <c r="E1229" s="191">
        <v>0</v>
      </c>
      <c r="F1229" s="191">
        <v>0</v>
      </c>
      <c r="G1229" s="191">
        <v>0</v>
      </c>
      <c r="H1229" s="191">
        <v>0</v>
      </c>
      <c r="I1229" s="193">
        <v>6950.6</v>
      </c>
      <c r="J1229" s="193">
        <v>22143</v>
      </c>
      <c r="K1229" s="191">
        <v>0</v>
      </c>
      <c r="L1229" s="191">
        <v>0</v>
      </c>
      <c r="M1229" s="191">
        <v>0</v>
      </c>
      <c r="N1229" s="191">
        <v>0</v>
      </c>
      <c r="O1229" s="191">
        <v>0</v>
      </c>
      <c r="P1229" s="191">
        <v>0</v>
      </c>
    </row>
    <row r="1230" spans="1:16" x14ac:dyDescent="0.25">
      <c r="A1230" s="190">
        <v>801010402</v>
      </c>
      <c r="B1230" s="190" t="s">
        <v>433</v>
      </c>
      <c r="C1230" s="190">
        <v>3821</v>
      </c>
      <c r="D1230" s="190" t="s">
        <v>408</v>
      </c>
      <c r="E1230" s="191">
        <v>0</v>
      </c>
      <c r="F1230" s="191">
        <v>0</v>
      </c>
      <c r="G1230" s="191">
        <v>0</v>
      </c>
      <c r="H1230" s="191">
        <v>0</v>
      </c>
      <c r="I1230" s="191">
        <v>0</v>
      </c>
      <c r="J1230" s="193">
        <v>3200</v>
      </c>
      <c r="K1230" s="191">
        <v>0</v>
      </c>
      <c r="L1230" s="191">
        <v>0</v>
      </c>
      <c r="M1230" s="193">
        <v>2842</v>
      </c>
      <c r="N1230" s="191">
        <v>0</v>
      </c>
      <c r="O1230" s="191">
        <v>0</v>
      </c>
      <c r="P1230" s="191">
        <v>512.1</v>
      </c>
    </row>
    <row r="1231" spans="1:16" x14ac:dyDescent="0.25">
      <c r="A1231" s="190">
        <v>801010402</v>
      </c>
      <c r="B1231" s="190" t="s">
        <v>434</v>
      </c>
      <c r="C1231" s="190">
        <v>3821</v>
      </c>
      <c r="D1231" s="190" t="s">
        <v>408</v>
      </c>
      <c r="E1231" s="191">
        <v>0</v>
      </c>
      <c r="F1231" s="191">
        <v>0</v>
      </c>
      <c r="G1231" s="191">
        <v>0</v>
      </c>
      <c r="H1231" s="191">
        <v>0</v>
      </c>
      <c r="I1231" s="193">
        <v>3523</v>
      </c>
      <c r="J1231" s="191">
        <v>0</v>
      </c>
      <c r="K1231" s="191">
        <v>0</v>
      </c>
      <c r="L1231" s="191">
        <v>0</v>
      </c>
      <c r="M1231" s="191">
        <v>0</v>
      </c>
      <c r="N1231" s="191">
        <v>0</v>
      </c>
      <c r="O1231" s="191">
        <v>0</v>
      </c>
      <c r="P1231" s="191">
        <v>0</v>
      </c>
    </row>
    <row r="1232" spans="1:16" x14ac:dyDescent="0.25">
      <c r="A1232" s="190">
        <v>801010402</v>
      </c>
      <c r="B1232" s="190" t="s">
        <v>435</v>
      </c>
      <c r="C1232" s="190">
        <v>3821</v>
      </c>
      <c r="D1232" s="190" t="s">
        <v>408</v>
      </c>
      <c r="E1232" s="191">
        <v>0</v>
      </c>
      <c r="F1232" s="191">
        <v>0</v>
      </c>
      <c r="G1232" s="191">
        <v>0</v>
      </c>
      <c r="H1232" s="191">
        <v>0</v>
      </c>
      <c r="I1232" s="191">
        <v>0</v>
      </c>
      <c r="J1232" s="193">
        <v>1658.8</v>
      </c>
      <c r="K1232" s="191">
        <v>0</v>
      </c>
      <c r="L1232" s="191">
        <v>0</v>
      </c>
      <c r="M1232" s="191">
        <v>0</v>
      </c>
      <c r="N1232" s="191">
        <v>0</v>
      </c>
      <c r="O1232" s="191">
        <v>0</v>
      </c>
      <c r="P1232" s="191">
        <v>0</v>
      </c>
    </row>
    <row r="1233" spans="1:16" x14ac:dyDescent="0.25">
      <c r="A1233" s="190">
        <v>801010402</v>
      </c>
      <c r="B1233" s="190" t="s">
        <v>437</v>
      </c>
      <c r="C1233" s="190">
        <v>3821</v>
      </c>
      <c r="D1233" s="190" t="s">
        <v>408</v>
      </c>
      <c r="E1233" s="191">
        <v>0</v>
      </c>
      <c r="F1233" s="191">
        <v>0</v>
      </c>
      <c r="G1233" s="191">
        <v>0</v>
      </c>
      <c r="H1233" s="191">
        <v>0</v>
      </c>
      <c r="I1233" s="191">
        <v>0</v>
      </c>
      <c r="J1233" s="191">
        <v>0</v>
      </c>
      <c r="K1233" s="191">
        <v>0</v>
      </c>
      <c r="L1233" s="191">
        <v>0</v>
      </c>
      <c r="M1233" s="191">
        <v>0</v>
      </c>
      <c r="N1233" s="193">
        <v>6539.23</v>
      </c>
      <c r="O1233" s="191">
        <v>0</v>
      </c>
      <c r="P1233" s="191">
        <v>0</v>
      </c>
    </row>
    <row r="1234" spans="1:16" x14ac:dyDescent="0.25">
      <c r="A1234" s="190">
        <v>801010402</v>
      </c>
      <c r="B1234" s="190" t="s">
        <v>407</v>
      </c>
      <c r="C1234" s="190">
        <v>3822</v>
      </c>
      <c r="D1234" s="190" t="s">
        <v>408</v>
      </c>
      <c r="E1234" s="191">
        <v>0</v>
      </c>
      <c r="F1234" s="191">
        <v>0</v>
      </c>
      <c r="G1234" s="191">
        <v>0</v>
      </c>
      <c r="H1234" s="191">
        <v>0</v>
      </c>
      <c r="I1234" s="191">
        <v>0</v>
      </c>
      <c r="J1234" s="191">
        <v>0</v>
      </c>
      <c r="K1234" s="191">
        <v>0</v>
      </c>
      <c r="L1234" s="193">
        <v>25000</v>
      </c>
      <c r="M1234" s="191">
        <v>0</v>
      </c>
      <c r="N1234" s="191">
        <v>0</v>
      </c>
      <c r="O1234" s="191">
        <v>0</v>
      </c>
      <c r="P1234" s="191">
        <v>0</v>
      </c>
    </row>
    <row r="1235" spans="1:16" x14ac:dyDescent="0.25">
      <c r="A1235" s="190">
        <v>801010402</v>
      </c>
      <c r="B1235" s="190" t="s">
        <v>422</v>
      </c>
      <c r="C1235" s="190">
        <v>3822</v>
      </c>
      <c r="D1235" s="190" t="s">
        <v>408</v>
      </c>
      <c r="E1235" s="191">
        <v>0</v>
      </c>
      <c r="F1235" s="191">
        <v>0</v>
      </c>
      <c r="G1235" s="191">
        <v>0</v>
      </c>
      <c r="H1235" s="191">
        <v>0</v>
      </c>
      <c r="I1235" s="191">
        <v>0</v>
      </c>
      <c r="J1235" s="191">
        <v>920</v>
      </c>
      <c r="K1235" s="191">
        <v>0</v>
      </c>
      <c r="L1235" s="191">
        <v>0</v>
      </c>
      <c r="M1235" s="191">
        <v>0</v>
      </c>
      <c r="N1235" s="191">
        <v>0</v>
      </c>
      <c r="O1235" s="191">
        <v>0</v>
      </c>
      <c r="P1235" s="191">
        <v>0</v>
      </c>
    </row>
    <row r="1236" spans="1:16" x14ac:dyDescent="0.25">
      <c r="A1236" s="190">
        <v>801010402</v>
      </c>
      <c r="B1236" s="190" t="s">
        <v>424</v>
      </c>
      <c r="C1236" s="190">
        <v>3822</v>
      </c>
      <c r="D1236" s="190" t="s">
        <v>408</v>
      </c>
      <c r="E1236" s="191">
        <v>0</v>
      </c>
      <c r="F1236" s="191">
        <v>0</v>
      </c>
      <c r="G1236" s="191">
        <v>0</v>
      </c>
      <c r="H1236" s="191">
        <v>0</v>
      </c>
      <c r="I1236" s="191">
        <v>0</v>
      </c>
      <c r="J1236" s="193">
        <v>15000</v>
      </c>
      <c r="K1236" s="191">
        <v>0</v>
      </c>
      <c r="L1236" s="191">
        <v>0</v>
      </c>
      <c r="M1236" s="191">
        <v>0</v>
      </c>
      <c r="N1236" s="191">
        <v>0</v>
      </c>
      <c r="O1236" s="191">
        <v>0</v>
      </c>
      <c r="P1236" s="191">
        <v>0</v>
      </c>
    </row>
    <row r="1237" spans="1:16" x14ac:dyDescent="0.25">
      <c r="A1237" s="190">
        <v>801010402</v>
      </c>
      <c r="B1237" s="190" t="s">
        <v>426</v>
      </c>
      <c r="C1237" s="190">
        <v>3822</v>
      </c>
      <c r="D1237" s="190" t="s">
        <v>408</v>
      </c>
      <c r="E1237" s="191">
        <v>0</v>
      </c>
      <c r="F1237" s="191">
        <v>0</v>
      </c>
      <c r="G1237" s="191">
        <v>0</v>
      </c>
      <c r="H1237" s="191">
        <v>0</v>
      </c>
      <c r="I1237" s="191">
        <v>0</v>
      </c>
      <c r="J1237" s="193">
        <v>1740</v>
      </c>
      <c r="K1237" s="191">
        <v>0</v>
      </c>
      <c r="L1237" s="191">
        <v>0</v>
      </c>
      <c r="M1237" s="191">
        <v>0</v>
      </c>
      <c r="N1237" s="191">
        <v>0</v>
      </c>
      <c r="O1237" s="191">
        <v>0</v>
      </c>
      <c r="P1237" s="191">
        <v>0</v>
      </c>
    </row>
    <row r="1238" spans="1:16" x14ac:dyDescent="0.25">
      <c r="A1238" s="190">
        <v>801010402</v>
      </c>
      <c r="B1238" s="190" t="s">
        <v>407</v>
      </c>
      <c r="C1238" s="190">
        <v>3831</v>
      </c>
      <c r="D1238" s="190" t="s">
        <v>408</v>
      </c>
      <c r="E1238" s="191">
        <v>0</v>
      </c>
      <c r="F1238" s="191">
        <v>0</v>
      </c>
      <c r="G1238" s="191">
        <v>0</v>
      </c>
      <c r="H1238" s="193">
        <v>1970.47</v>
      </c>
      <c r="I1238" s="193">
        <v>69831.039999999994</v>
      </c>
      <c r="J1238" s="193">
        <v>39250</v>
      </c>
      <c r="K1238" s="193">
        <v>21090</v>
      </c>
      <c r="L1238" s="191">
        <v>0</v>
      </c>
      <c r="M1238" s="193">
        <v>1010</v>
      </c>
      <c r="N1238" s="193">
        <v>5557.2</v>
      </c>
      <c r="O1238" s="193">
        <v>94127.7</v>
      </c>
      <c r="P1238" s="193">
        <v>31792.799999999999</v>
      </c>
    </row>
    <row r="1239" spans="1:16" x14ac:dyDescent="0.25">
      <c r="A1239" s="190">
        <v>801010402</v>
      </c>
      <c r="B1239" s="190" t="s">
        <v>412</v>
      </c>
      <c r="C1239" s="190">
        <v>3831</v>
      </c>
      <c r="D1239" s="190" t="s">
        <v>408</v>
      </c>
      <c r="E1239" s="191">
        <v>0</v>
      </c>
      <c r="F1239" s="191">
        <v>0</v>
      </c>
      <c r="G1239" s="191">
        <v>0</v>
      </c>
      <c r="H1239" s="193">
        <v>2267</v>
      </c>
      <c r="I1239" s="191">
        <v>0</v>
      </c>
      <c r="J1239" s="191">
        <v>0</v>
      </c>
      <c r="K1239" s="191">
        <v>0</v>
      </c>
      <c r="L1239" s="191">
        <v>0</v>
      </c>
      <c r="M1239" s="191">
        <v>0</v>
      </c>
      <c r="N1239" s="191">
        <v>0</v>
      </c>
      <c r="O1239" s="191">
        <v>0</v>
      </c>
      <c r="P1239" s="191">
        <v>0</v>
      </c>
    </row>
    <row r="1240" spans="1:16" x14ac:dyDescent="0.25">
      <c r="A1240" s="190">
        <v>801010402</v>
      </c>
      <c r="B1240" s="190" t="s">
        <v>419</v>
      </c>
      <c r="C1240" s="190">
        <v>3831</v>
      </c>
      <c r="D1240" s="190" t="s">
        <v>408</v>
      </c>
      <c r="E1240" s="191">
        <v>0</v>
      </c>
      <c r="F1240" s="191">
        <v>0</v>
      </c>
      <c r="G1240" s="191">
        <v>0</v>
      </c>
      <c r="H1240" s="191">
        <v>0</v>
      </c>
      <c r="I1240" s="193">
        <v>3500</v>
      </c>
      <c r="J1240" s="191">
        <v>0</v>
      </c>
      <c r="K1240" s="191">
        <v>0</v>
      </c>
      <c r="L1240" s="191">
        <v>0</v>
      </c>
      <c r="M1240" s="191">
        <v>0</v>
      </c>
      <c r="N1240" s="191">
        <v>0</v>
      </c>
      <c r="O1240" s="191">
        <v>0</v>
      </c>
      <c r="P1240" s="191">
        <v>0</v>
      </c>
    </row>
    <row r="1241" spans="1:16" x14ac:dyDescent="0.25">
      <c r="A1241" s="190">
        <v>801010402</v>
      </c>
      <c r="B1241" s="190" t="s">
        <v>423</v>
      </c>
      <c r="C1241" s="190">
        <v>3831</v>
      </c>
      <c r="D1241" s="190" t="s">
        <v>408</v>
      </c>
      <c r="E1241" s="191">
        <v>0</v>
      </c>
      <c r="F1241" s="191">
        <v>0</v>
      </c>
      <c r="G1241" s="191">
        <v>0</v>
      </c>
      <c r="H1241" s="191">
        <v>0</v>
      </c>
      <c r="I1241" s="191">
        <v>0</v>
      </c>
      <c r="J1241" s="191">
        <v>0</v>
      </c>
      <c r="K1241" s="191">
        <v>0</v>
      </c>
      <c r="L1241" s="191">
        <v>0</v>
      </c>
      <c r="M1241" s="191">
        <v>0</v>
      </c>
      <c r="N1241" s="193">
        <v>1500</v>
      </c>
      <c r="O1241" s="191">
        <v>0</v>
      </c>
      <c r="P1241" s="193">
        <v>5800</v>
      </c>
    </row>
    <row r="1242" spans="1:16" x14ac:dyDescent="0.25">
      <c r="A1242" s="190">
        <v>801010402</v>
      </c>
      <c r="B1242" s="190" t="s">
        <v>425</v>
      </c>
      <c r="C1242" s="190">
        <v>3831</v>
      </c>
      <c r="D1242" s="190" t="s">
        <v>408</v>
      </c>
      <c r="E1242" s="191">
        <v>0</v>
      </c>
      <c r="F1242" s="191">
        <v>0</v>
      </c>
      <c r="G1242" s="191">
        <v>0</v>
      </c>
      <c r="H1242" s="191">
        <v>0</v>
      </c>
      <c r="I1242" s="191">
        <v>0</v>
      </c>
      <c r="J1242" s="191">
        <v>0</v>
      </c>
      <c r="K1242" s="191">
        <v>0</v>
      </c>
      <c r="L1242" s="191">
        <v>0</v>
      </c>
      <c r="M1242" s="191">
        <v>0</v>
      </c>
      <c r="N1242" s="193">
        <v>4861</v>
      </c>
      <c r="O1242" s="191">
        <v>0</v>
      </c>
      <c r="P1242" s="191">
        <v>0</v>
      </c>
    </row>
    <row r="1243" spans="1:16" x14ac:dyDescent="0.25">
      <c r="A1243" s="190">
        <v>801010402</v>
      </c>
      <c r="B1243" s="190" t="s">
        <v>426</v>
      </c>
      <c r="C1243" s="190">
        <v>3831</v>
      </c>
      <c r="D1243" s="190" t="s">
        <v>408</v>
      </c>
      <c r="E1243" s="191">
        <v>0</v>
      </c>
      <c r="F1243" s="191">
        <v>0</v>
      </c>
      <c r="G1243" s="191">
        <v>0</v>
      </c>
      <c r="H1243" s="191">
        <v>0</v>
      </c>
      <c r="I1243" s="191">
        <v>0</v>
      </c>
      <c r="J1243" s="191">
        <v>0</v>
      </c>
      <c r="K1243" s="191">
        <v>0</v>
      </c>
      <c r="L1243" s="191">
        <v>0</v>
      </c>
      <c r="M1243" s="193">
        <v>1210</v>
      </c>
      <c r="N1243" s="191">
        <v>0</v>
      </c>
      <c r="O1243" s="191">
        <v>0</v>
      </c>
      <c r="P1243" s="191">
        <v>0</v>
      </c>
    </row>
    <row r="1244" spans="1:16" x14ac:dyDescent="0.25">
      <c r="A1244" s="190">
        <v>801010402</v>
      </c>
      <c r="B1244" s="190" t="s">
        <v>428</v>
      </c>
      <c r="C1244" s="190">
        <v>3831</v>
      </c>
      <c r="D1244" s="190" t="s">
        <v>408</v>
      </c>
      <c r="E1244" s="191">
        <v>0</v>
      </c>
      <c r="F1244" s="191">
        <v>0</v>
      </c>
      <c r="G1244" s="191">
        <v>0</v>
      </c>
      <c r="H1244" s="191">
        <v>0</v>
      </c>
      <c r="I1244" s="191">
        <v>0</v>
      </c>
      <c r="J1244" s="191">
        <v>0</v>
      </c>
      <c r="K1244" s="191">
        <v>0</v>
      </c>
      <c r="L1244" s="193">
        <v>1800</v>
      </c>
      <c r="M1244" s="191">
        <v>0</v>
      </c>
      <c r="N1244" s="191">
        <v>614.4</v>
      </c>
      <c r="O1244" s="191">
        <v>0</v>
      </c>
      <c r="P1244" s="191">
        <v>0</v>
      </c>
    </row>
    <row r="1245" spans="1:16" x14ac:dyDescent="0.25">
      <c r="A1245" s="190">
        <v>801010402</v>
      </c>
      <c r="B1245" s="190" t="s">
        <v>432</v>
      </c>
      <c r="C1245" s="190">
        <v>3831</v>
      </c>
      <c r="D1245" s="190" t="s">
        <v>408</v>
      </c>
      <c r="E1245" s="191">
        <v>0</v>
      </c>
      <c r="F1245" s="191">
        <v>0</v>
      </c>
      <c r="G1245" s="191">
        <v>0</v>
      </c>
      <c r="H1245" s="191">
        <v>0</v>
      </c>
      <c r="I1245" s="191">
        <v>0</v>
      </c>
      <c r="J1245" s="193">
        <v>92660</v>
      </c>
      <c r="K1245" s="191">
        <v>0</v>
      </c>
      <c r="L1245" s="191">
        <v>0</v>
      </c>
      <c r="M1245" s="191">
        <v>0</v>
      </c>
      <c r="N1245" s="191">
        <v>0</v>
      </c>
      <c r="O1245" s="193">
        <v>23901</v>
      </c>
      <c r="P1245" s="191">
        <v>0</v>
      </c>
    </row>
    <row r="1246" spans="1:16" x14ac:dyDescent="0.25">
      <c r="A1246" s="190">
        <v>801010402</v>
      </c>
      <c r="B1246" s="190" t="s">
        <v>434</v>
      </c>
      <c r="C1246" s="190">
        <v>3831</v>
      </c>
      <c r="D1246" s="190" t="s">
        <v>408</v>
      </c>
      <c r="E1246" s="191">
        <v>0</v>
      </c>
      <c r="F1246" s="191">
        <v>0</v>
      </c>
      <c r="G1246" s="191">
        <v>0</v>
      </c>
      <c r="H1246" s="191">
        <v>0</v>
      </c>
      <c r="I1246" s="191">
        <v>0</v>
      </c>
      <c r="J1246" s="191">
        <v>0</v>
      </c>
      <c r="K1246" s="191">
        <v>0</v>
      </c>
      <c r="L1246" s="191">
        <v>327.68</v>
      </c>
      <c r="M1246" s="191">
        <v>0</v>
      </c>
      <c r="N1246" s="191">
        <v>0</v>
      </c>
      <c r="O1246" s="191">
        <v>0</v>
      </c>
      <c r="P1246" s="191">
        <v>0</v>
      </c>
    </row>
    <row r="1247" spans="1:16" x14ac:dyDescent="0.25">
      <c r="A1247" s="190">
        <v>801010402</v>
      </c>
      <c r="B1247" s="190" t="s">
        <v>436</v>
      </c>
      <c r="C1247" s="190">
        <v>3831</v>
      </c>
      <c r="D1247" s="190" t="s">
        <v>408</v>
      </c>
      <c r="E1247" s="191">
        <v>0</v>
      </c>
      <c r="F1247" s="191">
        <v>0</v>
      </c>
      <c r="G1247" s="191">
        <v>0</v>
      </c>
      <c r="H1247" s="191">
        <v>0</v>
      </c>
      <c r="I1247" s="191">
        <v>0</v>
      </c>
      <c r="J1247" s="191">
        <v>0</v>
      </c>
      <c r="K1247" s="191">
        <v>0</v>
      </c>
      <c r="L1247" s="193">
        <v>2000</v>
      </c>
      <c r="M1247" s="191">
        <v>0</v>
      </c>
      <c r="N1247" s="191">
        <v>0</v>
      </c>
      <c r="O1247" s="191">
        <v>0</v>
      </c>
      <c r="P1247" s="191">
        <v>0</v>
      </c>
    </row>
    <row r="1248" spans="1:16" x14ac:dyDescent="0.25">
      <c r="A1248" s="190">
        <v>801010402</v>
      </c>
      <c r="B1248" s="190" t="s">
        <v>437</v>
      </c>
      <c r="C1248" s="190">
        <v>3831</v>
      </c>
      <c r="D1248" s="190" t="s">
        <v>409</v>
      </c>
      <c r="E1248" s="191">
        <v>0</v>
      </c>
      <c r="F1248" s="191">
        <v>0</v>
      </c>
      <c r="G1248" s="191">
        <v>0</v>
      </c>
      <c r="H1248" s="191">
        <v>0</v>
      </c>
      <c r="I1248" s="191">
        <v>0</v>
      </c>
      <c r="J1248" s="191">
        <v>0</v>
      </c>
      <c r="K1248" s="191">
        <v>0</v>
      </c>
      <c r="L1248" s="193">
        <v>22068.2</v>
      </c>
      <c r="M1248" s="191">
        <v>0</v>
      </c>
      <c r="N1248" s="191">
        <v>0</v>
      </c>
      <c r="O1248" s="191">
        <v>0</v>
      </c>
      <c r="P1248" s="191">
        <v>0</v>
      </c>
    </row>
    <row r="1249" spans="1:16" x14ac:dyDescent="0.25">
      <c r="A1249" s="190">
        <v>801010402</v>
      </c>
      <c r="B1249" s="190" t="s">
        <v>437</v>
      </c>
      <c r="C1249" s="190">
        <v>3831</v>
      </c>
      <c r="D1249" s="190" t="s">
        <v>408</v>
      </c>
      <c r="E1249" s="191">
        <v>0</v>
      </c>
      <c r="F1249" s="193">
        <v>18673.79</v>
      </c>
      <c r="G1249" s="193">
        <v>43885.84</v>
      </c>
      <c r="H1249" s="193">
        <v>173975.04000000001</v>
      </c>
      <c r="I1249" s="193">
        <v>10364.9</v>
      </c>
      <c r="J1249" s="193">
        <v>16200</v>
      </c>
      <c r="K1249" s="193">
        <v>16812.16</v>
      </c>
      <c r="L1249" s="193">
        <v>64710.03</v>
      </c>
      <c r="M1249" s="193">
        <v>47785.04</v>
      </c>
      <c r="N1249" s="193">
        <v>38938.120000000003</v>
      </c>
      <c r="O1249" s="193">
        <v>36472.67</v>
      </c>
      <c r="P1249" s="193">
        <v>18322.060000000001</v>
      </c>
    </row>
    <row r="1250" spans="1:16" x14ac:dyDescent="0.25">
      <c r="A1250" s="190">
        <v>801010402</v>
      </c>
      <c r="B1250" s="190" t="s">
        <v>415</v>
      </c>
      <c r="C1250" s="190">
        <v>3841</v>
      </c>
      <c r="D1250" s="190" t="s">
        <v>408</v>
      </c>
      <c r="E1250" s="191">
        <v>0</v>
      </c>
      <c r="F1250" s="191">
        <v>0</v>
      </c>
      <c r="G1250" s="191">
        <v>0</v>
      </c>
      <c r="H1250" s="191">
        <v>0</v>
      </c>
      <c r="I1250" s="191">
        <v>0</v>
      </c>
      <c r="J1250" s="193">
        <v>1500</v>
      </c>
      <c r="K1250" s="191">
        <v>0</v>
      </c>
      <c r="L1250" s="191">
        <v>0</v>
      </c>
      <c r="M1250" s="191">
        <v>0</v>
      </c>
      <c r="N1250" s="191">
        <v>0</v>
      </c>
      <c r="O1250" s="191">
        <v>0</v>
      </c>
      <c r="P1250" s="191">
        <v>0</v>
      </c>
    </row>
    <row r="1251" spans="1:16" x14ac:dyDescent="0.25">
      <c r="A1251" s="190">
        <v>801010402</v>
      </c>
      <c r="B1251" s="190" t="s">
        <v>417</v>
      </c>
      <c r="C1251" s="190">
        <v>3841</v>
      </c>
      <c r="D1251" s="190" t="s">
        <v>408</v>
      </c>
      <c r="E1251" s="191">
        <v>0</v>
      </c>
      <c r="F1251" s="191">
        <v>0</v>
      </c>
      <c r="G1251" s="191">
        <v>0</v>
      </c>
      <c r="H1251" s="191">
        <v>0</v>
      </c>
      <c r="I1251" s="191">
        <v>0</v>
      </c>
      <c r="J1251" s="193">
        <v>15000</v>
      </c>
      <c r="K1251" s="191">
        <v>0</v>
      </c>
      <c r="L1251" s="191">
        <v>0</v>
      </c>
      <c r="M1251" s="191">
        <v>0</v>
      </c>
      <c r="N1251" s="191">
        <v>0</v>
      </c>
      <c r="O1251" s="191">
        <v>0</v>
      </c>
      <c r="P1251" s="191">
        <v>0</v>
      </c>
    </row>
    <row r="1252" spans="1:16" x14ac:dyDescent="0.25">
      <c r="A1252" s="190">
        <v>801010402</v>
      </c>
      <c r="B1252" s="190" t="s">
        <v>432</v>
      </c>
      <c r="C1252" s="190">
        <v>3841</v>
      </c>
      <c r="D1252" s="190" t="s">
        <v>408</v>
      </c>
      <c r="E1252" s="191">
        <v>0</v>
      </c>
      <c r="F1252" s="191">
        <v>0</v>
      </c>
      <c r="G1252" s="191">
        <v>0</v>
      </c>
      <c r="H1252" s="191">
        <v>0</v>
      </c>
      <c r="I1252" s="191">
        <v>0</v>
      </c>
      <c r="J1252" s="193">
        <v>18278.400000000001</v>
      </c>
      <c r="K1252" s="191">
        <v>0</v>
      </c>
      <c r="L1252" s="191">
        <v>0</v>
      </c>
      <c r="M1252" s="191">
        <v>0</v>
      </c>
      <c r="N1252" s="191">
        <v>0</v>
      </c>
      <c r="O1252" s="191">
        <v>0</v>
      </c>
      <c r="P1252" s="191">
        <v>0</v>
      </c>
    </row>
    <row r="1253" spans="1:16" x14ac:dyDescent="0.25">
      <c r="A1253" s="190">
        <v>801010402</v>
      </c>
      <c r="B1253" s="190" t="s">
        <v>437</v>
      </c>
      <c r="C1253" s="190">
        <v>3841</v>
      </c>
      <c r="D1253" s="190" t="s">
        <v>408</v>
      </c>
      <c r="E1253" s="191">
        <v>0</v>
      </c>
      <c r="F1253" s="191">
        <v>0</v>
      </c>
      <c r="G1253" s="191">
        <v>0</v>
      </c>
      <c r="H1253" s="191">
        <v>0</v>
      </c>
      <c r="I1253" s="191">
        <v>0</v>
      </c>
      <c r="J1253" s="193">
        <v>3922</v>
      </c>
      <c r="K1253" s="191">
        <v>0</v>
      </c>
      <c r="L1253" s="191">
        <v>0</v>
      </c>
      <c r="M1253" s="191">
        <v>0</v>
      </c>
      <c r="N1253" s="191">
        <v>0</v>
      </c>
      <c r="O1253" s="191">
        <v>0</v>
      </c>
      <c r="P1253" s="191">
        <v>0</v>
      </c>
    </row>
    <row r="1254" spans="1:16" x14ac:dyDescent="0.25">
      <c r="A1254" s="190">
        <v>801010402</v>
      </c>
      <c r="B1254" s="190" t="s">
        <v>407</v>
      </c>
      <c r="C1254" s="190">
        <v>3922</v>
      </c>
      <c r="D1254" s="190" t="s">
        <v>408</v>
      </c>
      <c r="E1254" s="193">
        <v>12774</v>
      </c>
      <c r="F1254" s="191">
        <v>935</v>
      </c>
      <c r="G1254" s="193">
        <v>1322.24</v>
      </c>
      <c r="H1254" s="193">
        <v>12000</v>
      </c>
      <c r="I1254" s="191">
        <v>0</v>
      </c>
      <c r="J1254" s="191">
        <v>0</v>
      </c>
      <c r="K1254" s="191">
        <v>0</v>
      </c>
      <c r="L1254" s="191">
        <v>0</v>
      </c>
      <c r="M1254" s="191">
        <v>0</v>
      </c>
      <c r="N1254" s="191">
        <v>0</v>
      </c>
      <c r="O1254" s="191">
        <v>0</v>
      </c>
      <c r="P1254" s="191">
        <v>0</v>
      </c>
    </row>
    <row r="1255" spans="1:16" x14ac:dyDescent="0.25">
      <c r="A1255" s="190">
        <v>801010402</v>
      </c>
      <c r="B1255" s="190" t="s">
        <v>410</v>
      </c>
      <c r="C1255" s="190">
        <v>3922</v>
      </c>
      <c r="D1255" s="190" t="s">
        <v>408</v>
      </c>
      <c r="E1255" s="191">
        <v>0</v>
      </c>
      <c r="F1255" s="191">
        <v>623</v>
      </c>
      <c r="G1255" s="193">
        <v>3316.02</v>
      </c>
      <c r="H1255" s="191">
        <v>0</v>
      </c>
      <c r="I1255" s="191">
        <v>0</v>
      </c>
      <c r="J1255" s="191">
        <v>0</v>
      </c>
      <c r="K1255" s="191">
        <v>0</v>
      </c>
      <c r="L1255" s="191">
        <v>0</v>
      </c>
      <c r="M1255" s="191">
        <v>0</v>
      </c>
      <c r="N1255" s="191">
        <v>0</v>
      </c>
      <c r="O1255" s="191">
        <v>0</v>
      </c>
      <c r="P1255" s="191">
        <v>0</v>
      </c>
    </row>
    <row r="1256" spans="1:16" x14ac:dyDescent="0.25">
      <c r="A1256" s="190">
        <v>801010402</v>
      </c>
      <c r="B1256" s="190" t="s">
        <v>411</v>
      </c>
      <c r="C1256" s="190">
        <v>3922</v>
      </c>
      <c r="D1256" s="190" t="s">
        <v>408</v>
      </c>
      <c r="E1256" s="191">
        <v>0</v>
      </c>
      <c r="F1256" s="191">
        <v>623</v>
      </c>
      <c r="G1256" s="193">
        <v>3316.02</v>
      </c>
      <c r="H1256" s="191">
        <v>0</v>
      </c>
      <c r="I1256" s="191">
        <v>0</v>
      </c>
      <c r="J1256" s="191">
        <v>0</v>
      </c>
      <c r="K1256" s="191">
        <v>0</v>
      </c>
      <c r="L1256" s="191">
        <v>0</v>
      </c>
      <c r="M1256" s="191">
        <v>0</v>
      </c>
      <c r="N1256" s="191">
        <v>0</v>
      </c>
      <c r="O1256" s="191">
        <v>0</v>
      </c>
      <c r="P1256" s="191">
        <v>0</v>
      </c>
    </row>
    <row r="1257" spans="1:16" x14ac:dyDescent="0.25">
      <c r="A1257" s="190">
        <v>801010402</v>
      </c>
      <c r="B1257" s="190" t="s">
        <v>412</v>
      </c>
      <c r="C1257" s="190">
        <v>3922</v>
      </c>
      <c r="D1257" s="190" t="s">
        <v>408</v>
      </c>
      <c r="E1257" s="191">
        <v>0</v>
      </c>
      <c r="F1257" s="191">
        <v>623</v>
      </c>
      <c r="G1257" s="193">
        <v>3316.02</v>
      </c>
      <c r="H1257" s="191">
        <v>0</v>
      </c>
      <c r="I1257" s="191">
        <v>0</v>
      </c>
      <c r="J1257" s="191">
        <v>0</v>
      </c>
      <c r="K1257" s="191">
        <v>0</v>
      </c>
      <c r="L1257" s="191">
        <v>0</v>
      </c>
      <c r="M1257" s="191">
        <v>0</v>
      </c>
      <c r="N1257" s="191">
        <v>0</v>
      </c>
      <c r="O1257" s="191">
        <v>0</v>
      </c>
      <c r="P1257" s="191">
        <v>0</v>
      </c>
    </row>
    <row r="1258" spans="1:16" x14ac:dyDescent="0.25">
      <c r="A1258" s="190">
        <v>801010402</v>
      </c>
      <c r="B1258" s="190" t="s">
        <v>413</v>
      </c>
      <c r="C1258" s="190">
        <v>3922</v>
      </c>
      <c r="D1258" s="190" t="s">
        <v>408</v>
      </c>
      <c r="E1258" s="191">
        <v>0</v>
      </c>
      <c r="F1258" s="191">
        <v>623</v>
      </c>
      <c r="G1258" s="193">
        <v>3316.02</v>
      </c>
      <c r="H1258" s="191">
        <v>0</v>
      </c>
      <c r="I1258" s="191">
        <v>0</v>
      </c>
      <c r="J1258" s="191">
        <v>0</v>
      </c>
      <c r="K1258" s="191">
        <v>0</v>
      </c>
      <c r="L1258" s="191">
        <v>0</v>
      </c>
      <c r="M1258" s="191">
        <v>0</v>
      </c>
      <c r="N1258" s="191">
        <v>0</v>
      </c>
      <c r="O1258" s="191">
        <v>0</v>
      </c>
      <c r="P1258" s="191">
        <v>0</v>
      </c>
    </row>
    <row r="1259" spans="1:16" x14ac:dyDescent="0.25">
      <c r="A1259" s="190">
        <v>801010402</v>
      </c>
      <c r="B1259" s="190" t="s">
        <v>421</v>
      </c>
      <c r="C1259" s="190">
        <v>3922</v>
      </c>
      <c r="D1259" s="190" t="s">
        <v>408</v>
      </c>
      <c r="E1259" s="191">
        <v>0</v>
      </c>
      <c r="F1259" s="191">
        <v>623</v>
      </c>
      <c r="G1259" s="191">
        <v>0</v>
      </c>
      <c r="H1259" s="191">
        <v>623</v>
      </c>
      <c r="I1259" s="191">
        <v>0</v>
      </c>
      <c r="J1259" s="191">
        <v>0</v>
      </c>
      <c r="K1259" s="191">
        <v>0</v>
      </c>
      <c r="L1259" s="191">
        <v>0</v>
      </c>
      <c r="M1259" s="191">
        <v>0</v>
      </c>
      <c r="N1259" s="191">
        <v>299</v>
      </c>
      <c r="O1259" s="191">
        <v>0</v>
      </c>
      <c r="P1259" s="191">
        <v>0</v>
      </c>
    </row>
    <row r="1260" spans="1:16" x14ac:dyDescent="0.25">
      <c r="A1260" s="190">
        <v>801010402</v>
      </c>
      <c r="B1260" s="190" t="s">
        <v>422</v>
      </c>
      <c r="C1260" s="190">
        <v>3922</v>
      </c>
      <c r="D1260" s="190" t="s">
        <v>408</v>
      </c>
      <c r="E1260" s="191">
        <v>0</v>
      </c>
      <c r="F1260" s="191">
        <v>623</v>
      </c>
      <c r="G1260" s="191">
        <v>0</v>
      </c>
      <c r="H1260" s="191">
        <v>312</v>
      </c>
      <c r="I1260" s="191">
        <v>0</v>
      </c>
      <c r="J1260" s="191">
        <v>0</v>
      </c>
      <c r="K1260" s="191">
        <v>0</v>
      </c>
      <c r="L1260" s="191">
        <v>0</v>
      </c>
      <c r="M1260" s="191">
        <v>0</v>
      </c>
      <c r="N1260" s="191">
        <v>0</v>
      </c>
      <c r="O1260" s="191">
        <v>0</v>
      </c>
      <c r="P1260" s="191">
        <v>0</v>
      </c>
    </row>
    <row r="1261" spans="1:16" x14ac:dyDescent="0.25">
      <c r="A1261" s="190">
        <v>801010402</v>
      </c>
      <c r="B1261" s="190" t="s">
        <v>423</v>
      </c>
      <c r="C1261" s="190">
        <v>3922</v>
      </c>
      <c r="D1261" s="190" t="s">
        <v>408</v>
      </c>
      <c r="E1261" s="191">
        <v>0</v>
      </c>
      <c r="F1261" s="191">
        <v>623</v>
      </c>
      <c r="G1261" s="191">
        <v>0</v>
      </c>
      <c r="H1261" s="191">
        <v>0</v>
      </c>
      <c r="I1261" s="191">
        <v>0</v>
      </c>
      <c r="J1261" s="191">
        <v>0</v>
      </c>
      <c r="K1261" s="191">
        <v>0</v>
      </c>
      <c r="L1261" s="191">
        <v>0</v>
      </c>
      <c r="M1261" s="191">
        <v>0</v>
      </c>
      <c r="N1261" s="191">
        <v>0</v>
      </c>
      <c r="O1261" s="191">
        <v>0</v>
      </c>
      <c r="P1261" s="191">
        <v>0</v>
      </c>
    </row>
    <row r="1262" spans="1:16" x14ac:dyDescent="0.25">
      <c r="A1262" s="190">
        <v>801010402</v>
      </c>
      <c r="B1262" s="190" t="s">
        <v>424</v>
      </c>
      <c r="C1262" s="190">
        <v>3922</v>
      </c>
      <c r="D1262" s="190" t="s">
        <v>408</v>
      </c>
      <c r="E1262" s="191">
        <v>0</v>
      </c>
      <c r="F1262" s="191">
        <v>623</v>
      </c>
      <c r="G1262" s="191">
        <v>0</v>
      </c>
      <c r="H1262" s="191">
        <v>0</v>
      </c>
      <c r="I1262" s="191">
        <v>0</v>
      </c>
      <c r="J1262" s="191">
        <v>0</v>
      </c>
      <c r="K1262" s="191">
        <v>0</v>
      </c>
      <c r="L1262" s="191">
        <v>0</v>
      </c>
      <c r="M1262" s="191">
        <v>0</v>
      </c>
      <c r="N1262" s="191">
        <v>0</v>
      </c>
      <c r="O1262" s="191">
        <v>0</v>
      </c>
      <c r="P1262" s="191">
        <v>0</v>
      </c>
    </row>
    <row r="1263" spans="1:16" x14ac:dyDescent="0.25">
      <c r="A1263" s="190">
        <v>801010402</v>
      </c>
      <c r="B1263" s="190" t="s">
        <v>425</v>
      </c>
      <c r="C1263" s="190">
        <v>3922</v>
      </c>
      <c r="D1263" s="190" t="s">
        <v>408</v>
      </c>
      <c r="E1263" s="191">
        <v>0</v>
      </c>
      <c r="F1263" s="191">
        <v>623</v>
      </c>
      <c r="G1263" s="191">
        <v>0</v>
      </c>
      <c r="H1263" s="191">
        <v>0</v>
      </c>
      <c r="I1263" s="191">
        <v>0</v>
      </c>
      <c r="J1263" s="191">
        <v>0</v>
      </c>
      <c r="K1263" s="191">
        <v>0</v>
      </c>
      <c r="L1263" s="191">
        <v>0</v>
      </c>
      <c r="M1263" s="191">
        <v>0</v>
      </c>
      <c r="N1263" s="191">
        <v>0</v>
      </c>
      <c r="O1263" s="191">
        <v>0</v>
      </c>
      <c r="P1263" s="191">
        <v>0</v>
      </c>
    </row>
    <row r="1264" spans="1:16" x14ac:dyDescent="0.25">
      <c r="A1264" s="190">
        <v>801010402</v>
      </c>
      <c r="B1264" s="190" t="s">
        <v>429</v>
      </c>
      <c r="C1264" s="190">
        <v>3922</v>
      </c>
      <c r="D1264" s="190" t="s">
        <v>408</v>
      </c>
      <c r="E1264" s="191">
        <v>0</v>
      </c>
      <c r="F1264" s="191">
        <v>0</v>
      </c>
      <c r="G1264" s="191">
        <v>0</v>
      </c>
      <c r="H1264" s="191">
        <v>0</v>
      </c>
      <c r="I1264" s="191">
        <v>0</v>
      </c>
      <c r="J1264" s="191">
        <v>0</v>
      </c>
      <c r="K1264" s="191">
        <v>0</v>
      </c>
      <c r="L1264" s="191">
        <v>0</v>
      </c>
      <c r="M1264" s="191">
        <v>0</v>
      </c>
      <c r="N1264" s="191">
        <v>0</v>
      </c>
      <c r="O1264" s="191">
        <v>0</v>
      </c>
      <c r="P1264" s="193">
        <v>1000</v>
      </c>
    </row>
    <row r="1265" spans="1:16" x14ac:dyDescent="0.25">
      <c r="A1265" s="190">
        <v>801010402</v>
      </c>
      <c r="B1265" s="190" t="s">
        <v>432</v>
      </c>
      <c r="C1265" s="190">
        <v>3922</v>
      </c>
      <c r="D1265" s="190" t="s">
        <v>408</v>
      </c>
      <c r="E1265" s="191">
        <v>0</v>
      </c>
      <c r="F1265" s="191">
        <v>0</v>
      </c>
      <c r="G1265" s="193">
        <v>3173.68</v>
      </c>
      <c r="H1265" s="191">
        <v>0</v>
      </c>
      <c r="I1265" s="191">
        <v>0</v>
      </c>
      <c r="J1265" s="191">
        <v>0</v>
      </c>
      <c r="K1265" s="191">
        <v>0</v>
      </c>
      <c r="L1265" s="191">
        <v>0</v>
      </c>
      <c r="M1265" s="191">
        <v>0</v>
      </c>
      <c r="N1265" s="191">
        <v>0</v>
      </c>
      <c r="O1265" s="191">
        <v>0</v>
      </c>
      <c r="P1265" s="191">
        <v>0</v>
      </c>
    </row>
    <row r="1266" spans="1:16" x14ac:dyDescent="0.25">
      <c r="A1266" s="190">
        <v>801010402</v>
      </c>
      <c r="B1266" s="190" t="s">
        <v>407</v>
      </c>
      <c r="C1266" s="190">
        <v>3982</v>
      </c>
      <c r="D1266" s="190" t="s">
        <v>408</v>
      </c>
      <c r="E1266" s="191">
        <v>0</v>
      </c>
      <c r="F1266" s="191">
        <v>0</v>
      </c>
      <c r="G1266" s="191">
        <v>0</v>
      </c>
      <c r="H1266" s="191">
        <v>0</v>
      </c>
      <c r="I1266" s="191">
        <v>0</v>
      </c>
      <c r="J1266" s="191">
        <v>0</v>
      </c>
      <c r="K1266" s="191">
        <v>0</v>
      </c>
      <c r="L1266" s="191">
        <v>0</v>
      </c>
      <c r="M1266" s="191">
        <v>0</v>
      </c>
      <c r="N1266" s="191">
        <v>0</v>
      </c>
      <c r="O1266" s="191">
        <v>0</v>
      </c>
      <c r="P1266" s="193">
        <v>1033605.48</v>
      </c>
    </row>
    <row r="1267" spans="1:16" x14ac:dyDescent="0.25">
      <c r="A1267" s="190">
        <v>801010402</v>
      </c>
      <c r="B1267" s="190" t="s">
        <v>407</v>
      </c>
      <c r="C1267" s="190">
        <v>3991</v>
      </c>
      <c r="D1267" s="190" t="s">
        <v>408</v>
      </c>
      <c r="E1267" s="191">
        <v>0</v>
      </c>
      <c r="F1267" s="193">
        <v>2500</v>
      </c>
      <c r="G1267" s="191">
        <v>0</v>
      </c>
      <c r="H1267" s="193">
        <v>1500</v>
      </c>
      <c r="I1267" s="191">
        <v>0</v>
      </c>
      <c r="J1267" s="191">
        <v>0</v>
      </c>
      <c r="K1267" s="191">
        <v>0</v>
      </c>
      <c r="L1267" s="191">
        <v>0</v>
      </c>
      <c r="M1267" s="191">
        <v>0</v>
      </c>
      <c r="N1267" s="193">
        <v>92800</v>
      </c>
      <c r="O1267" s="191">
        <v>0</v>
      </c>
      <c r="P1267" s="191">
        <v>0</v>
      </c>
    </row>
    <row r="1268" spans="1:16" x14ac:dyDescent="0.25">
      <c r="A1268" s="190">
        <v>801010402</v>
      </c>
      <c r="B1268" s="190" t="s">
        <v>421</v>
      </c>
      <c r="C1268" s="190">
        <v>3992</v>
      </c>
      <c r="D1268" s="190" t="s">
        <v>408</v>
      </c>
      <c r="E1268" s="191">
        <v>0</v>
      </c>
      <c r="F1268" s="191">
        <v>0</v>
      </c>
      <c r="G1268" s="191">
        <v>0</v>
      </c>
      <c r="H1268" s="191">
        <v>0</v>
      </c>
      <c r="I1268" s="191">
        <v>0</v>
      </c>
      <c r="J1268" s="191">
        <v>0</v>
      </c>
      <c r="K1268" s="191">
        <v>0</v>
      </c>
      <c r="L1268" s="191">
        <v>0</v>
      </c>
      <c r="M1268" s="191">
        <v>0</v>
      </c>
      <c r="N1268" s="191">
        <v>15</v>
      </c>
      <c r="O1268" s="191">
        <v>0</v>
      </c>
      <c r="P1268" s="191">
        <v>0</v>
      </c>
    </row>
    <row r="1269" spans="1:16" x14ac:dyDescent="0.25">
      <c r="A1269" s="190">
        <v>801010402</v>
      </c>
      <c r="B1269" s="190" t="s">
        <v>436</v>
      </c>
      <c r="C1269" s="190">
        <v>3993</v>
      </c>
      <c r="D1269" s="190" t="s">
        <v>408</v>
      </c>
      <c r="E1269" s="191">
        <v>0</v>
      </c>
      <c r="F1269" s="191">
        <v>0</v>
      </c>
      <c r="G1269" s="191">
        <v>0</v>
      </c>
      <c r="H1269" s="191">
        <v>0</v>
      </c>
      <c r="I1269" s="191">
        <v>0</v>
      </c>
      <c r="J1269" s="193">
        <v>1420</v>
      </c>
      <c r="K1269" s="191">
        <v>0</v>
      </c>
      <c r="L1269" s="191">
        <v>0</v>
      </c>
      <c r="M1269" s="191">
        <v>0</v>
      </c>
      <c r="N1269" s="191">
        <v>0</v>
      </c>
      <c r="O1269" s="191">
        <v>0</v>
      </c>
      <c r="P1269" s="191">
        <v>0</v>
      </c>
    </row>
    <row r="1270" spans="1:16" x14ac:dyDescent="0.25">
      <c r="A1270" s="190">
        <v>801010402</v>
      </c>
      <c r="B1270" s="190" t="s">
        <v>422</v>
      </c>
      <c r="C1270" s="190">
        <v>3994</v>
      </c>
      <c r="D1270" s="190" t="s">
        <v>408</v>
      </c>
      <c r="E1270" s="191">
        <v>0</v>
      </c>
      <c r="F1270" s="191">
        <v>0</v>
      </c>
      <c r="G1270" s="191">
        <v>0</v>
      </c>
      <c r="H1270" s="191">
        <v>0</v>
      </c>
      <c r="I1270" s="191">
        <v>0</v>
      </c>
      <c r="J1270" s="193">
        <v>9512</v>
      </c>
      <c r="K1270" s="191">
        <v>0</v>
      </c>
      <c r="L1270" s="191">
        <v>0</v>
      </c>
      <c r="M1270" s="191">
        <v>0</v>
      </c>
      <c r="N1270" s="191">
        <v>0</v>
      </c>
      <c r="O1270" s="191">
        <v>0</v>
      </c>
      <c r="P1270" s="191">
        <v>0</v>
      </c>
    </row>
    <row r="1271" spans="1:16" x14ac:dyDescent="0.25">
      <c r="A1271" s="190">
        <v>801010402</v>
      </c>
      <c r="B1271" s="190" t="s">
        <v>407</v>
      </c>
      <c r="C1271" s="190">
        <v>5111</v>
      </c>
      <c r="D1271" s="190" t="s">
        <v>408</v>
      </c>
      <c r="E1271" s="191">
        <v>0</v>
      </c>
      <c r="F1271" s="191">
        <v>0</v>
      </c>
      <c r="G1271" s="191">
        <v>0</v>
      </c>
      <c r="H1271" s="193">
        <v>4864.76</v>
      </c>
      <c r="I1271" s="191">
        <v>0</v>
      </c>
      <c r="J1271" s="193">
        <v>51641.25</v>
      </c>
      <c r="K1271" s="193">
        <v>43141.5</v>
      </c>
      <c r="L1271" s="193">
        <v>45558855.829999998</v>
      </c>
      <c r="M1271" s="191">
        <v>0</v>
      </c>
      <c r="N1271" s="193">
        <v>1392</v>
      </c>
      <c r="O1271" s="191">
        <v>0</v>
      </c>
      <c r="P1271" s="193">
        <v>304256.15000000002</v>
      </c>
    </row>
    <row r="1272" spans="1:16" x14ac:dyDescent="0.25">
      <c r="A1272" s="190">
        <v>801010402</v>
      </c>
      <c r="B1272" s="190" t="s">
        <v>410</v>
      </c>
      <c r="C1272" s="190">
        <v>5111</v>
      </c>
      <c r="D1272" s="190" t="s">
        <v>408</v>
      </c>
      <c r="E1272" s="191">
        <v>0</v>
      </c>
      <c r="F1272" s="191">
        <v>0</v>
      </c>
      <c r="G1272" s="191">
        <v>0</v>
      </c>
      <c r="H1272" s="191">
        <v>0</v>
      </c>
      <c r="I1272" s="191">
        <v>0</v>
      </c>
      <c r="J1272" s="191">
        <v>0</v>
      </c>
      <c r="K1272" s="191">
        <v>0</v>
      </c>
      <c r="L1272" s="193">
        <v>7602.41</v>
      </c>
      <c r="M1272" s="191">
        <v>0</v>
      </c>
      <c r="N1272" s="191">
        <v>464</v>
      </c>
      <c r="O1272" s="191">
        <v>0</v>
      </c>
      <c r="P1272" s="191">
        <v>0</v>
      </c>
    </row>
    <row r="1273" spans="1:16" x14ac:dyDescent="0.25">
      <c r="A1273" s="190">
        <v>801010402</v>
      </c>
      <c r="B1273" s="190" t="s">
        <v>411</v>
      </c>
      <c r="C1273" s="190">
        <v>5111</v>
      </c>
      <c r="D1273" s="190" t="s">
        <v>408</v>
      </c>
      <c r="E1273" s="191">
        <v>0</v>
      </c>
      <c r="F1273" s="191">
        <v>0</v>
      </c>
      <c r="G1273" s="191">
        <v>0</v>
      </c>
      <c r="H1273" s="191">
        <v>0</v>
      </c>
      <c r="I1273" s="191">
        <v>0</v>
      </c>
      <c r="J1273" s="191">
        <v>0</v>
      </c>
      <c r="K1273" s="191">
        <v>0</v>
      </c>
      <c r="L1273" s="191">
        <v>0</v>
      </c>
      <c r="M1273" s="191">
        <v>0</v>
      </c>
      <c r="N1273" s="191">
        <v>464</v>
      </c>
      <c r="O1273" s="191">
        <v>0</v>
      </c>
      <c r="P1273" s="193">
        <v>19893.23</v>
      </c>
    </row>
    <row r="1274" spans="1:16" x14ac:dyDescent="0.25">
      <c r="A1274" s="190">
        <v>801010402</v>
      </c>
      <c r="B1274" s="190" t="s">
        <v>412</v>
      </c>
      <c r="C1274" s="190">
        <v>5111</v>
      </c>
      <c r="D1274" s="190" t="s">
        <v>408</v>
      </c>
      <c r="E1274" s="191">
        <v>0</v>
      </c>
      <c r="F1274" s="191">
        <v>0</v>
      </c>
      <c r="G1274" s="191">
        <v>0</v>
      </c>
      <c r="H1274" s="191">
        <v>0</v>
      </c>
      <c r="I1274" s="191">
        <v>0</v>
      </c>
      <c r="J1274" s="191">
        <v>0</v>
      </c>
      <c r="K1274" s="191">
        <v>0</v>
      </c>
      <c r="L1274" s="191">
        <v>0</v>
      </c>
      <c r="M1274" s="191">
        <v>0</v>
      </c>
      <c r="N1274" s="191">
        <v>464</v>
      </c>
      <c r="O1274" s="191">
        <v>0</v>
      </c>
      <c r="P1274" s="191">
        <v>0</v>
      </c>
    </row>
    <row r="1275" spans="1:16" x14ac:dyDescent="0.25">
      <c r="A1275" s="190">
        <v>801010402</v>
      </c>
      <c r="B1275" s="190" t="s">
        <v>413</v>
      </c>
      <c r="C1275" s="190">
        <v>5111</v>
      </c>
      <c r="D1275" s="190" t="s">
        <v>408</v>
      </c>
      <c r="E1275" s="191">
        <v>0</v>
      </c>
      <c r="F1275" s="191">
        <v>0</v>
      </c>
      <c r="G1275" s="191">
        <v>0</v>
      </c>
      <c r="H1275" s="191">
        <v>0</v>
      </c>
      <c r="I1275" s="191">
        <v>0</v>
      </c>
      <c r="J1275" s="191">
        <v>0</v>
      </c>
      <c r="K1275" s="191">
        <v>0</v>
      </c>
      <c r="L1275" s="191">
        <v>0</v>
      </c>
      <c r="M1275" s="191">
        <v>0</v>
      </c>
      <c r="N1275" s="191">
        <v>464</v>
      </c>
      <c r="O1275" s="191">
        <v>0</v>
      </c>
      <c r="P1275" s="193">
        <v>15831.14</v>
      </c>
    </row>
    <row r="1276" spans="1:16" x14ac:dyDescent="0.25">
      <c r="A1276" s="190">
        <v>801010402</v>
      </c>
      <c r="B1276" s="190" t="s">
        <v>414</v>
      </c>
      <c r="C1276" s="190">
        <v>5111</v>
      </c>
      <c r="D1276" s="190" t="s">
        <v>408</v>
      </c>
      <c r="E1276" s="191">
        <v>0</v>
      </c>
      <c r="F1276" s="191">
        <v>0</v>
      </c>
      <c r="G1276" s="191">
        <v>0</v>
      </c>
      <c r="H1276" s="191">
        <v>0</v>
      </c>
      <c r="I1276" s="191">
        <v>0</v>
      </c>
      <c r="J1276" s="191">
        <v>0</v>
      </c>
      <c r="K1276" s="191">
        <v>0</v>
      </c>
      <c r="L1276" s="191">
        <v>0</v>
      </c>
      <c r="M1276" s="191">
        <v>0</v>
      </c>
      <c r="N1276" s="191">
        <v>464</v>
      </c>
      <c r="O1276" s="191">
        <v>0</v>
      </c>
      <c r="P1276" s="193">
        <v>15831.14</v>
      </c>
    </row>
    <row r="1277" spans="1:16" x14ac:dyDescent="0.25">
      <c r="A1277" s="190">
        <v>801010402</v>
      </c>
      <c r="B1277" s="190" t="s">
        <v>415</v>
      </c>
      <c r="C1277" s="190">
        <v>5111</v>
      </c>
      <c r="D1277" s="190" t="s">
        <v>408</v>
      </c>
      <c r="E1277" s="191">
        <v>0</v>
      </c>
      <c r="F1277" s="191">
        <v>0</v>
      </c>
      <c r="G1277" s="191">
        <v>0</v>
      </c>
      <c r="H1277" s="191">
        <v>0</v>
      </c>
      <c r="I1277" s="191">
        <v>0</v>
      </c>
      <c r="J1277" s="191">
        <v>0</v>
      </c>
      <c r="K1277" s="191">
        <v>0</v>
      </c>
      <c r="L1277" s="191">
        <v>0</v>
      </c>
      <c r="M1277" s="191">
        <v>0</v>
      </c>
      <c r="N1277" s="191">
        <v>464</v>
      </c>
      <c r="O1277" s="191">
        <v>0</v>
      </c>
      <c r="P1277" s="193">
        <v>1469.72</v>
      </c>
    </row>
    <row r="1278" spans="1:16" x14ac:dyDescent="0.25">
      <c r="A1278" s="190">
        <v>801010402</v>
      </c>
      <c r="B1278" s="190" t="s">
        <v>416</v>
      </c>
      <c r="C1278" s="190">
        <v>5111</v>
      </c>
      <c r="D1278" s="190" t="s">
        <v>408</v>
      </c>
      <c r="E1278" s="191">
        <v>0</v>
      </c>
      <c r="F1278" s="191">
        <v>0</v>
      </c>
      <c r="G1278" s="191">
        <v>0</v>
      </c>
      <c r="H1278" s="191">
        <v>0</v>
      </c>
      <c r="I1278" s="191">
        <v>0</v>
      </c>
      <c r="J1278" s="191">
        <v>0</v>
      </c>
      <c r="K1278" s="191">
        <v>0</v>
      </c>
      <c r="L1278" s="191">
        <v>0</v>
      </c>
      <c r="M1278" s="191">
        <v>0</v>
      </c>
      <c r="N1278" s="191">
        <v>464</v>
      </c>
      <c r="O1278" s="191">
        <v>0</v>
      </c>
      <c r="P1278" s="193">
        <v>15831.14</v>
      </c>
    </row>
    <row r="1279" spans="1:16" x14ac:dyDescent="0.25">
      <c r="A1279" s="190">
        <v>801010402</v>
      </c>
      <c r="B1279" s="190" t="s">
        <v>417</v>
      </c>
      <c r="C1279" s="190">
        <v>5111</v>
      </c>
      <c r="D1279" s="190" t="s">
        <v>408</v>
      </c>
      <c r="E1279" s="191">
        <v>0</v>
      </c>
      <c r="F1279" s="191">
        <v>0</v>
      </c>
      <c r="G1279" s="191">
        <v>0</v>
      </c>
      <c r="H1279" s="191">
        <v>0</v>
      </c>
      <c r="I1279" s="191">
        <v>0</v>
      </c>
      <c r="J1279" s="191">
        <v>0</v>
      </c>
      <c r="K1279" s="191">
        <v>0</v>
      </c>
      <c r="L1279" s="191">
        <v>0</v>
      </c>
      <c r="M1279" s="191">
        <v>0</v>
      </c>
      <c r="N1279" s="191">
        <v>464</v>
      </c>
      <c r="O1279" s="191">
        <v>0</v>
      </c>
      <c r="P1279" s="191">
        <v>0</v>
      </c>
    </row>
    <row r="1280" spans="1:16" x14ac:dyDescent="0.25">
      <c r="A1280" s="190">
        <v>801010402</v>
      </c>
      <c r="B1280" s="190" t="s">
        <v>419</v>
      </c>
      <c r="C1280" s="190">
        <v>5111</v>
      </c>
      <c r="D1280" s="190" t="s">
        <v>408</v>
      </c>
      <c r="E1280" s="191">
        <v>0</v>
      </c>
      <c r="F1280" s="191">
        <v>0</v>
      </c>
      <c r="G1280" s="191">
        <v>0</v>
      </c>
      <c r="H1280" s="191">
        <v>0</v>
      </c>
      <c r="I1280" s="191">
        <v>0</v>
      </c>
      <c r="J1280" s="191">
        <v>0</v>
      </c>
      <c r="K1280" s="191">
        <v>0</v>
      </c>
      <c r="L1280" s="193">
        <v>2036.96</v>
      </c>
      <c r="M1280" s="191">
        <v>0</v>
      </c>
      <c r="N1280" s="191">
        <v>464</v>
      </c>
      <c r="O1280" s="191">
        <v>0</v>
      </c>
      <c r="P1280" s="191">
        <v>0</v>
      </c>
    </row>
    <row r="1281" spans="1:16" x14ac:dyDescent="0.25">
      <c r="A1281" s="190">
        <v>801010402</v>
      </c>
      <c r="B1281" s="190" t="s">
        <v>420</v>
      </c>
      <c r="C1281" s="190">
        <v>5111</v>
      </c>
      <c r="D1281" s="190" t="s">
        <v>408</v>
      </c>
      <c r="E1281" s="191">
        <v>0</v>
      </c>
      <c r="F1281" s="191">
        <v>0</v>
      </c>
      <c r="G1281" s="191">
        <v>0</v>
      </c>
      <c r="H1281" s="191">
        <v>0</v>
      </c>
      <c r="I1281" s="191">
        <v>0</v>
      </c>
      <c r="J1281" s="191">
        <v>0</v>
      </c>
      <c r="K1281" s="191">
        <v>0</v>
      </c>
      <c r="L1281" s="191">
        <v>0</v>
      </c>
      <c r="M1281" s="191">
        <v>0</v>
      </c>
      <c r="N1281" s="191">
        <v>464</v>
      </c>
      <c r="O1281" s="191">
        <v>0</v>
      </c>
      <c r="P1281" s="191">
        <v>0</v>
      </c>
    </row>
    <row r="1282" spans="1:16" x14ac:dyDescent="0.25">
      <c r="A1282" s="190">
        <v>801010402</v>
      </c>
      <c r="B1282" s="190" t="s">
        <v>421</v>
      </c>
      <c r="C1282" s="190">
        <v>5111</v>
      </c>
      <c r="D1282" s="190" t="s">
        <v>408</v>
      </c>
      <c r="E1282" s="191">
        <v>0</v>
      </c>
      <c r="F1282" s="191">
        <v>0</v>
      </c>
      <c r="G1282" s="191">
        <v>0</v>
      </c>
      <c r="H1282" s="191">
        <v>0</v>
      </c>
      <c r="I1282" s="191">
        <v>0</v>
      </c>
      <c r="J1282" s="191">
        <v>0</v>
      </c>
      <c r="K1282" s="191">
        <v>0</v>
      </c>
      <c r="L1282" s="191">
        <v>0</v>
      </c>
      <c r="M1282" s="191">
        <v>0</v>
      </c>
      <c r="N1282" s="191">
        <v>464</v>
      </c>
      <c r="O1282" s="191">
        <v>0</v>
      </c>
      <c r="P1282" s="191">
        <v>0</v>
      </c>
    </row>
    <row r="1283" spans="1:16" x14ac:dyDescent="0.25">
      <c r="A1283" s="190">
        <v>801010402</v>
      </c>
      <c r="B1283" s="190" t="s">
        <v>422</v>
      </c>
      <c r="C1283" s="190">
        <v>5111</v>
      </c>
      <c r="D1283" s="190" t="s">
        <v>408</v>
      </c>
      <c r="E1283" s="191">
        <v>0</v>
      </c>
      <c r="F1283" s="191">
        <v>0</v>
      </c>
      <c r="G1283" s="191">
        <v>0</v>
      </c>
      <c r="H1283" s="191">
        <v>0</v>
      </c>
      <c r="I1283" s="191">
        <v>0</v>
      </c>
      <c r="J1283" s="193">
        <v>5228.28</v>
      </c>
      <c r="K1283" s="191">
        <v>0</v>
      </c>
      <c r="L1283" s="191">
        <v>0</v>
      </c>
      <c r="M1283" s="191">
        <v>0</v>
      </c>
      <c r="N1283" s="191">
        <v>464</v>
      </c>
      <c r="O1283" s="191">
        <v>0</v>
      </c>
      <c r="P1283" s="191">
        <v>0</v>
      </c>
    </row>
    <row r="1284" spans="1:16" x14ac:dyDescent="0.25">
      <c r="A1284" s="190">
        <v>801010402</v>
      </c>
      <c r="B1284" s="190" t="s">
        <v>423</v>
      </c>
      <c r="C1284" s="190">
        <v>5111</v>
      </c>
      <c r="D1284" s="190" t="s">
        <v>408</v>
      </c>
      <c r="E1284" s="191">
        <v>0</v>
      </c>
      <c r="F1284" s="191">
        <v>0</v>
      </c>
      <c r="G1284" s="191">
        <v>0</v>
      </c>
      <c r="H1284" s="191">
        <v>0</v>
      </c>
      <c r="I1284" s="191">
        <v>0</v>
      </c>
      <c r="J1284" s="191">
        <v>0</v>
      </c>
      <c r="K1284" s="191">
        <v>0</v>
      </c>
      <c r="L1284" s="191">
        <v>0</v>
      </c>
      <c r="M1284" s="191">
        <v>0</v>
      </c>
      <c r="N1284" s="191">
        <v>464</v>
      </c>
      <c r="O1284" s="191">
        <v>0</v>
      </c>
      <c r="P1284" s="193">
        <v>15831.14</v>
      </c>
    </row>
    <row r="1285" spans="1:16" x14ac:dyDescent="0.25">
      <c r="A1285" s="190">
        <v>801010402</v>
      </c>
      <c r="B1285" s="190" t="s">
        <v>424</v>
      </c>
      <c r="C1285" s="190">
        <v>5111</v>
      </c>
      <c r="D1285" s="190" t="s">
        <v>408</v>
      </c>
      <c r="E1285" s="191">
        <v>0</v>
      </c>
      <c r="F1285" s="191">
        <v>0</v>
      </c>
      <c r="G1285" s="191">
        <v>0</v>
      </c>
      <c r="H1285" s="191">
        <v>0</v>
      </c>
      <c r="I1285" s="191">
        <v>0</v>
      </c>
      <c r="J1285" s="191">
        <v>0</v>
      </c>
      <c r="K1285" s="191">
        <v>0</v>
      </c>
      <c r="L1285" s="191">
        <v>0</v>
      </c>
      <c r="M1285" s="191">
        <v>0</v>
      </c>
      <c r="N1285" s="191">
        <v>464</v>
      </c>
      <c r="O1285" s="191">
        <v>0</v>
      </c>
      <c r="P1285" s="191">
        <v>0</v>
      </c>
    </row>
    <row r="1286" spans="1:16" x14ac:dyDescent="0.25">
      <c r="A1286" s="190">
        <v>801010402</v>
      </c>
      <c r="B1286" s="190" t="s">
        <v>425</v>
      </c>
      <c r="C1286" s="190">
        <v>5111</v>
      </c>
      <c r="D1286" s="190" t="s">
        <v>408</v>
      </c>
      <c r="E1286" s="191">
        <v>0</v>
      </c>
      <c r="F1286" s="191">
        <v>0</v>
      </c>
      <c r="G1286" s="191">
        <v>0</v>
      </c>
      <c r="H1286" s="191">
        <v>0</v>
      </c>
      <c r="I1286" s="191">
        <v>0</v>
      </c>
      <c r="J1286" s="191">
        <v>0</v>
      </c>
      <c r="K1286" s="191">
        <v>0</v>
      </c>
      <c r="L1286" s="191">
        <v>0</v>
      </c>
      <c r="M1286" s="191">
        <v>0</v>
      </c>
      <c r="N1286" s="191">
        <v>464</v>
      </c>
      <c r="O1286" s="191">
        <v>0</v>
      </c>
      <c r="P1286" s="191">
        <v>0</v>
      </c>
    </row>
    <row r="1287" spans="1:16" x14ac:dyDescent="0.25">
      <c r="A1287" s="190">
        <v>801010402</v>
      </c>
      <c r="B1287" s="190" t="s">
        <v>426</v>
      </c>
      <c r="C1287" s="190">
        <v>5111</v>
      </c>
      <c r="D1287" s="190" t="s">
        <v>408</v>
      </c>
      <c r="E1287" s="191">
        <v>0</v>
      </c>
      <c r="F1287" s="191">
        <v>0</v>
      </c>
      <c r="G1287" s="191">
        <v>0</v>
      </c>
      <c r="H1287" s="191">
        <v>0</v>
      </c>
      <c r="I1287" s="191">
        <v>0</v>
      </c>
      <c r="J1287" s="191">
        <v>0</v>
      </c>
      <c r="K1287" s="191">
        <v>0</v>
      </c>
      <c r="L1287" s="191">
        <v>0</v>
      </c>
      <c r="M1287" s="191">
        <v>0</v>
      </c>
      <c r="N1287" s="191">
        <v>464</v>
      </c>
      <c r="O1287" s="191">
        <v>0</v>
      </c>
      <c r="P1287" s="191">
        <v>0</v>
      </c>
    </row>
    <row r="1288" spans="1:16" x14ac:dyDescent="0.25">
      <c r="A1288" s="190">
        <v>801010402</v>
      </c>
      <c r="B1288" s="190" t="s">
        <v>427</v>
      </c>
      <c r="C1288" s="190">
        <v>5111</v>
      </c>
      <c r="D1288" s="190" t="s">
        <v>408</v>
      </c>
      <c r="E1288" s="191">
        <v>0</v>
      </c>
      <c r="F1288" s="191">
        <v>0</v>
      </c>
      <c r="G1288" s="191">
        <v>0</v>
      </c>
      <c r="H1288" s="191">
        <v>0</v>
      </c>
      <c r="I1288" s="191">
        <v>0</v>
      </c>
      <c r="J1288" s="191">
        <v>0</v>
      </c>
      <c r="K1288" s="191">
        <v>0</v>
      </c>
      <c r="L1288" s="191">
        <v>0</v>
      </c>
      <c r="M1288" s="191">
        <v>0</v>
      </c>
      <c r="N1288" s="191">
        <v>464</v>
      </c>
      <c r="O1288" s="191">
        <v>0</v>
      </c>
      <c r="P1288" s="191">
        <v>0</v>
      </c>
    </row>
    <row r="1289" spans="1:16" x14ac:dyDescent="0.25">
      <c r="A1289" s="190">
        <v>801010402</v>
      </c>
      <c r="B1289" s="190" t="s">
        <v>428</v>
      </c>
      <c r="C1289" s="190">
        <v>5111</v>
      </c>
      <c r="D1289" s="190" t="s">
        <v>408</v>
      </c>
      <c r="E1289" s="191">
        <v>0</v>
      </c>
      <c r="F1289" s="191">
        <v>0</v>
      </c>
      <c r="G1289" s="191">
        <v>0</v>
      </c>
      <c r="H1289" s="191">
        <v>0</v>
      </c>
      <c r="I1289" s="191">
        <v>0</v>
      </c>
      <c r="J1289" s="191">
        <v>0</v>
      </c>
      <c r="K1289" s="191">
        <v>0</v>
      </c>
      <c r="L1289" s="191">
        <v>0</v>
      </c>
      <c r="M1289" s="191">
        <v>0</v>
      </c>
      <c r="N1289" s="191">
        <v>464</v>
      </c>
      <c r="O1289" s="191">
        <v>0</v>
      </c>
      <c r="P1289" s="191">
        <v>0</v>
      </c>
    </row>
    <row r="1290" spans="1:16" x14ac:dyDescent="0.25">
      <c r="A1290" s="190">
        <v>801010402</v>
      </c>
      <c r="B1290" s="190" t="s">
        <v>429</v>
      </c>
      <c r="C1290" s="190">
        <v>5111</v>
      </c>
      <c r="D1290" s="190" t="s">
        <v>408</v>
      </c>
      <c r="E1290" s="191">
        <v>0</v>
      </c>
      <c r="F1290" s="191">
        <v>0</v>
      </c>
      <c r="G1290" s="191">
        <v>0</v>
      </c>
      <c r="H1290" s="191">
        <v>0</v>
      </c>
      <c r="I1290" s="191">
        <v>0</v>
      </c>
      <c r="J1290" s="191">
        <v>0</v>
      </c>
      <c r="K1290" s="191">
        <v>0</v>
      </c>
      <c r="L1290" s="191">
        <v>0</v>
      </c>
      <c r="M1290" s="191">
        <v>0</v>
      </c>
      <c r="N1290" s="191">
        <v>464</v>
      </c>
      <c r="O1290" s="191">
        <v>0</v>
      </c>
      <c r="P1290" s="191">
        <v>0</v>
      </c>
    </row>
    <row r="1291" spans="1:16" x14ac:dyDescent="0.25">
      <c r="A1291" s="190">
        <v>801010402</v>
      </c>
      <c r="B1291" s="190" t="s">
        <v>430</v>
      </c>
      <c r="C1291" s="190">
        <v>5111</v>
      </c>
      <c r="D1291" s="190" t="s">
        <v>408</v>
      </c>
      <c r="E1291" s="191">
        <v>0</v>
      </c>
      <c r="F1291" s="191">
        <v>0</v>
      </c>
      <c r="G1291" s="191">
        <v>0</v>
      </c>
      <c r="H1291" s="191">
        <v>0</v>
      </c>
      <c r="I1291" s="191">
        <v>0</v>
      </c>
      <c r="J1291" s="191">
        <v>0</v>
      </c>
      <c r="K1291" s="191">
        <v>0</v>
      </c>
      <c r="L1291" s="191">
        <v>0</v>
      </c>
      <c r="M1291" s="193">
        <v>2077</v>
      </c>
      <c r="N1291" s="191">
        <v>464</v>
      </c>
      <c r="O1291" s="191">
        <v>0</v>
      </c>
      <c r="P1291" s="191">
        <v>0</v>
      </c>
    </row>
    <row r="1292" spans="1:16" x14ac:dyDescent="0.25">
      <c r="A1292" s="190">
        <v>801010402</v>
      </c>
      <c r="B1292" s="190" t="s">
        <v>431</v>
      </c>
      <c r="C1292" s="190">
        <v>5111</v>
      </c>
      <c r="D1292" s="190" t="s">
        <v>408</v>
      </c>
      <c r="E1292" s="191">
        <v>0</v>
      </c>
      <c r="F1292" s="191">
        <v>0</v>
      </c>
      <c r="G1292" s="191">
        <v>0</v>
      </c>
      <c r="H1292" s="193">
        <v>4060</v>
      </c>
      <c r="I1292" s="191">
        <v>0</v>
      </c>
      <c r="J1292" s="191">
        <v>0</v>
      </c>
      <c r="K1292" s="191">
        <v>0</v>
      </c>
      <c r="L1292" s="191">
        <v>0</v>
      </c>
      <c r="M1292" s="191">
        <v>0</v>
      </c>
      <c r="N1292" s="191">
        <v>464</v>
      </c>
      <c r="O1292" s="191">
        <v>0</v>
      </c>
      <c r="P1292" s="191">
        <v>0</v>
      </c>
    </row>
    <row r="1293" spans="1:16" x14ac:dyDescent="0.25">
      <c r="A1293" s="190">
        <v>801010402</v>
      </c>
      <c r="B1293" s="190" t="s">
        <v>432</v>
      </c>
      <c r="C1293" s="190">
        <v>5111</v>
      </c>
      <c r="D1293" s="190" t="s">
        <v>408</v>
      </c>
      <c r="E1293" s="191">
        <v>0</v>
      </c>
      <c r="F1293" s="191">
        <v>0</v>
      </c>
      <c r="G1293" s="191">
        <v>0</v>
      </c>
      <c r="H1293" s="191">
        <v>0</v>
      </c>
      <c r="I1293" s="191">
        <v>0</v>
      </c>
      <c r="J1293" s="191">
        <v>0</v>
      </c>
      <c r="K1293" s="191">
        <v>0</v>
      </c>
      <c r="L1293" s="191">
        <v>0</v>
      </c>
      <c r="M1293" s="191">
        <v>0</v>
      </c>
      <c r="N1293" s="191">
        <v>464</v>
      </c>
      <c r="O1293" s="191">
        <v>0</v>
      </c>
      <c r="P1293" s="191">
        <v>0</v>
      </c>
    </row>
    <row r="1294" spans="1:16" x14ac:dyDescent="0.25">
      <c r="A1294" s="190">
        <v>801010402</v>
      </c>
      <c r="B1294" s="190" t="s">
        <v>433</v>
      </c>
      <c r="C1294" s="190">
        <v>5111</v>
      </c>
      <c r="D1294" s="190" t="s">
        <v>408</v>
      </c>
      <c r="E1294" s="191">
        <v>0</v>
      </c>
      <c r="F1294" s="191">
        <v>0</v>
      </c>
      <c r="G1294" s="191">
        <v>0</v>
      </c>
      <c r="H1294" s="193">
        <v>4060</v>
      </c>
      <c r="I1294" s="191">
        <v>0</v>
      </c>
      <c r="J1294" s="191">
        <v>0</v>
      </c>
      <c r="K1294" s="191">
        <v>0</v>
      </c>
      <c r="L1294" s="193">
        <v>1636.76</v>
      </c>
      <c r="M1294" s="191">
        <v>0</v>
      </c>
      <c r="N1294" s="191">
        <v>464</v>
      </c>
      <c r="O1294" s="191">
        <v>0</v>
      </c>
      <c r="P1294" s="191">
        <v>0</v>
      </c>
    </row>
    <row r="1295" spans="1:16" x14ac:dyDescent="0.25">
      <c r="A1295" s="190">
        <v>801010402</v>
      </c>
      <c r="B1295" s="190" t="s">
        <v>434</v>
      </c>
      <c r="C1295" s="190">
        <v>5111</v>
      </c>
      <c r="D1295" s="190" t="s">
        <v>408</v>
      </c>
      <c r="E1295" s="191">
        <v>0</v>
      </c>
      <c r="F1295" s="191">
        <v>0</v>
      </c>
      <c r="G1295" s="191">
        <v>0</v>
      </c>
      <c r="H1295" s="191">
        <v>0</v>
      </c>
      <c r="I1295" s="191">
        <v>0</v>
      </c>
      <c r="J1295" s="191">
        <v>0</v>
      </c>
      <c r="K1295" s="191">
        <v>0</v>
      </c>
      <c r="L1295" s="191">
        <v>0</v>
      </c>
      <c r="M1295" s="191">
        <v>0</v>
      </c>
      <c r="N1295" s="191">
        <v>464</v>
      </c>
      <c r="O1295" s="191">
        <v>0</v>
      </c>
      <c r="P1295" s="193">
        <v>8042.66</v>
      </c>
    </row>
    <row r="1296" spans="1:16" x14ac:dyDescent="0.25">
      <c r="A1296" s="190">
        <v>801010402</v>
      </c>
      <c r="B1296" s="190" t="s">
        <v>435</v>
      </c>
      <c r="C1296" s="190">
        <v>5111</v>
      </c>
      <c r="D1296" s="190" t="s">
        <v>408</v>
      </c>
      <c r="E1296" s="191">
        <v>0</v>
      </c>
      <c r="F1296" s="191">
        <v>0</v>
      </c>
      <c r="G1296" s="191">
        <v>0</v>
      </c>
      <c r="H1296" s="191">
        <v>0</v>
      </c>
      <c r="I1296" s="191">
        <v>0</v>
      </c>
      <c r="J1296" s="191">
        <v>0</v>
      </c>
      <c r="K1296" s="191">
        <v>0</v>
      </c>
      <c r="L1296" s="191">
        <v>0</v>
      </c>
      <c r="M1296" s="191">
        <v>0</v>
      </c>
      <c r="N1296" s="191">
        <v>464</v>
      </c>
      <c r="O1296" s="191">
        <v>0</v>
      </c>
      <c r="P1296" s="191">
        <v>0</v>
      </c>
    </row>
    <row r="1297" spans="1:16" x14ac:dyDescent="0.25">
      <c r="A1297" s="190">
        <v>801010402</v>
      </c>
      <c r="B1297" s="190" t="s">
        <v>436</v>
      </c>
      <c r="C1297" s="190">
        <v>5111</v>
      </c>
      <c r="D1297" s="190" t="s">
        <v>408</v>
      </c>
      <c r="E1297" s="191">
        <v>0</v>
      </c>
      <c r="F1297" s="191">
        <v>0</v>
      </c>
      <c r="G1297" s="191">
        <v>0</v>
      </c>
      <c r="H1297" s="191">
        <v>0</v>
      </c>
      <c r="I1297" s="191">
        <v>0</v>
      </c>
      <c r="J1297" s="191">
        <v>0</v>
      </c>
      <c r="K1297" s="191">
        <v>0</v>
      </c>
      <c r="L1297" s="193">
        <v>40086.93</v>
      </c>
      <c r="M1297" s="191">
        <v>0</v>
      </c>
      <c r="N1297" s="191">
        <v>464</v>
      </c>
      <c r="O1297" s="191">
        <v>0</v>
      </c>
      <c r="P1297" s="191">
        <v>0</v>
      </c>
    </row>
    <row r="1298" spans="1:16" x14ac:dyDescent="0.25">
      <c r="A1298" s="190">
        <v>801010402</v>
      </c>
      <c r="B1298" s="190" t="s">
        <v>437</v>
      </c>
      <c r="C1298" s="190">
        <v>5111</v>
      </c>
      <c r="D1298" s="190" t="s">
        <v>408</v>
      </c>
      <c r="E1298" s="191">
        <v>0</v>
      </c>
      <c r="F1298" s="191">
        <v>0</v>
      </c>
      <c r="G1298" s="191">
        <v>0</v>
      </c>
      <c r="H1298" s="191">
        <v>0</v>
      </c>
      <c r="I1298" s="191">
        <v>0</v>
      </c>
      <c r="J1298" s="191">
        <v>0</v>
      </c>
      <c r="K1298" s="191">
        <v>0</v>
      </c>
      <c r="L1298" s="193">
        <v>4872</v>
      </c>
      <c r="M1298" s="191">
        <v>0</v>
      </c>
      <c r="N1298" s="191">
        <v>464</v>
      </c>
      <c r="O1298" s="191">
        <v>0</v>
      </c>
      <c r="P1298" s="191">
        <v>0</v>
      </c>
    </row>
    <row r="1299" spans="1:16" x14ac:dyDescent="0.25">
      <c r="A1299" s="190">
        <v>801010402</v>
      </c>
      <c r="B1299" s="190" t="s">
        <v>435</v>
      </c>
      <c r="C1299" s="190">
        <v>5121</v>
      </c>
      <c r="D1299" s="190" t="s">
        <v>408</v>
      </c>
      <c r="E1299" s="191">
        <v>0</v>
      </c>
      <c r="F1299" s="191">
        <v>0</v>
      </c>
      <c r="G1299" s="191">
        <v>0</v>
      </c>
      <c r="H1299" s="191">
        <v>0</v>
      </c>
      <c r="I1299" s="191">
        <v>0</v>
      </c>
      <c r="J1299" s="191">
        <v>0</v>
      </c>
      <c r="K1299" s="191">
        <v>0</v>
      </c>
      <c r="L1299" s="193">
        <v>6999</v>
      </c>
      <c r="M1299" s="191">
        <v>0</v>
      </c>
      <c r="N1299" s="191">
        <v>0</v>
      </c>
      <c r="O1299" s="191">
        <v>0</v>
      </c>
      <c r="P1299" s="191">
        <v>0</v>
      </c>
    </row>
    <row r="1300" spans="1:16" x14ac:dyDescent="0.25">
      <c r="A1300" s="190">
        <v>801010402</v>
      </c>
      <c r="B1300" s="190" t="s">
        <v>436</v>
      </c>
      <c r="C1300" s="190">
        <v>5121</v>
      </c>
      <c r="D1300" s="190" t="s">
        <v>408</v>
      </c>
      <c r="E1300" s="191">
        <v>0</v>
      </c>
      <c r="F1300" s="191">
        <v>0</v>
      </c>
      <c r="G1300" s="191">
        <v>0</v>
      </c>
      <c r="H1300" s="191">
        <v>0</v>
      </c>
      <c r="I1300" s="191">
        <v>0</v>
      </c>
      <c r="J1300" s="193">
        <v>14547.42</v>
      </c>
      <c r="K1300" s="191">
        <v>0</v>
      </c>
      <c r="L1300" s="191">
        <v>0</v>
      </c>
      <c r="M1300" s="191">
        <v>0</v>
      </c>
      <c r="N1300" s="191">
        <v>0</v>
      </c>
      <c r="O1300" s="191">
        <v>0</v>
      </c>
      <c r="P1300" s="191">
        <v>0</v>
      </c>
    </row>
    <row r="1301" spans="1:16" x14ac:dyDescent="0.25">
      <c r="A1301" s="190">
        <v>801010402</v>
      </c>
      <c r="B1301" s="190" t="s">
        <v>419</v>
      </c>
      <c r="C1301" s="190">
        <v>5131</v>
      </c>
      <c r="D1301" s="190" t="s">
        <v>408</v>
      </c>
      <c r="E1301" s="191">
        <v>0</v>
      </c>
      <c r="F1301" s="191">
        <v>0</v>
      </c>
      <c r="G1301" s="191">
        <v>0</v>
      </c>
      <c r="H1301" s="191">
        <v>0</v>
      </c>
      <c r="I1301" s="191">
        <v>0</v>
      </c>
      <c r="J1301" s="191">
        <v>0</v>
      </c>
      <c r="K1301" s="191">
        <v>0</v>
      </c>
      <c r="L1301" s="191">
        <v>0</v>
      </c>
      <c r="M1301" s="191">
        <v>0</v>
      </c>
      <c r="N1301" s="193">
        <v>8410</v>
      </c>
      <c r="O1301" s="191">
        <v>0</v>
      </c>
      <c r="P1301" s="191">
        <v>0</v>
      </c>
    </row>
    <row r="1302" spans="1:16" x14ac:dyDescent="0.25">
      <c r="A1302" s="190">
        <v>801010402</v>
      </c>
      <c r="B1302" s="190" t="s">
        <v>407</v>
      </c>
      <c r="C1302" s="190">
        <v>5133</v>
      </c>
      <c r="D1302" s="190" t="s">
        <v>408</v>
      </c>
      <c r="E1302" s="193">
        <v>2992.8</v>
      </c>
      <c r="F1302" s="191">
        <v>0</v>
      </c>
      <c r="G1302" s="191">
        <v>0</v>
      </c>
      <c r="H1302" s="191">
        <v>0</v>
      </c>
      <c r="I1302" s="191">
        <v>0</v>
      </c>
      <c r="J1302" s="191">
        <v>0</v>
      </c>
      <c r="K1302" s="191">
        <v>0</v>
      </c>
      <c r="L1302" s="191">
        <v>0</v>
      </c>
      <c r="M1302" s="191">
        <v>0</v>
      </c>
      <c r="N1302" s="191">
        <v>0</v>
      </c>
      <c r="O1302" s="191">
        <v>0</v>
      </c>
      <c r="P1302" s="191">
        <v>0</v>
      </c>
    </row>
    <row r="1303" spans="1:16" x14ac:dyDescent="0.25">
      <c r="A1303" s="190">
        <v>801010402</v>
      </c>
      <c r="B1303" s="190" t="s">
        <v>407</v>
      </c>
      <c r="C1303" s="190">
        <v>5151</v>
      </c>
      <c r="D1303" s="190" t="s">
        <v>409</v>
      </c>
      <c r="E1303" s="191">
        <v>0</v>
      </c>
      <c r="F1303" s="191">
        <v>0</v>
      </c>
      <c r="G1303" s="191">
        <v>0</v>
      </c>
      <c r="H1303" s="191">
        <v>0</v>
      </c>
      <c r="I1303" s="191">
        <v>0</v>
      </c>
      <c r="J1303" s="191">
        <v>0</v>
      </c>
      <c r="K1303" s="191">
        <v>0</v>
      </c>
      <c r="L1303" s="193">
        <v>39498</v>
      </c>
      <c r="M1303" s="191">
        <v>0</v>
      </c>
      <c r="N1303" s="191">
        <v>0</v>
      </c>
      <c r="O1303" s="191">
        <v>0</v>
      </c>
      <c r="P1303" s="191">
        <v>0</v>
      </c>
    </row>
    <row r="1304" spans="1:16" x14ac:dyDescent="0.25">
      <c r="A1304" s="190">
        <v>801010402</v>
      </c>
      <c r="B1304" s="190" t="s">
        <v>407</v>
      </c>
      <c r="C1304" s="190">
        <v>5151</v>
      </c>
      <c r="D1304" s="190" t="s">
        <v>408</v>
      </c>
      <c r="E1304" s="191">
        <v>0</v>
      </c>
      <c r="F1304" s="191">
        <v>0</v>
      </c>
      <c r="G1304" s="191">
        <v>0</v>
      </c>
      <c r="H1304" s="191">
        <v>0</v>
      </c>
      <c r="I1304" s="191">
        <v>0</v>
      </c>
      <c r="J1304" s="193">
        <v>4616.8</v>
      </c>
      <c r="K1304" s="191">
        <v>0</v>
      </c>
      <c r="L1304" s="191">
        <v>0</v>
      </c>
      <c r="M1304" s="191">
        <v>0</v>
      </c>
      <c r="N1304" s="191">
        <v>0</v>
      </c>
      <c r="O1304" s="191">
        <v>0</v>
      </c>
      <c r="P1304" s="191">
        <v>0</v>
      </c>
    </row>
    <row r="1305" spans="1:16" x14ac:dyDescent="0.25">
      <c r="A1305" s="190">
        <v>801010402</v>
      </c>
      <c r="B1305" s="190" t="s">
        <v>410</v>
      </c>
      <c r="C1305" s="190">
        <v>5151</v>
      </c>
      <c r="D1305" s="190" t="s">
        <v>409</v>
      </c>
      <c r="E1305" s="191">
        <v>0</v>
      </c>
      <c r="F1305" s="191">
        <v>0</v>
      </c>
      <c r="G1305" s="191">
        <v>0</v>
      </c>
      <c r="H1305" s="191">
        <v>0</v>
      </c>
      <c r="I1305" s="191">
        <v>0</v>
      </c>
      <c r="J1305" s="191">
        <v>0</v>
      </c>
      <c r="K1305" s="191">
        <v>0</v>
      </c>
      <c r="L1305" s="193">
        <v>13166</v>
      </c>
      <c r="M1305" s="191">
        <v>0</v>
      </c>
      <c r="N1305" s="191">
        <v>0</v>
      </c>
      <c r="O1305" s="191">
        <v>0</v>
      </c>
      <c r="P1305" s="191">
        <v>0</v>
      </c>
    </row>
    <row r="1306" spans="1:16" x14ac:dyDescent="0.25">
      <c r="A1306" s="190">
        <v>801010402</v>
      </c>
      <c r="B1306" s="190" t="s">
        <v>412</v>
      </c>
      <c r="C1306" s="190">
        <v>5151</v>
      </c>
      <c r="D1306" s="190" t="s">
        <v>408</v>
      </c>
      <c r="E1306" s="191">
        <v>0</v>
      </c>
      <c r="F1306" s="191">
        <v>0</v>
      </c>
      <c r="G1306" s="191">
        <v>0</v>
      </c>
      <c r="H1306" s="191">
        <v>0</v>
      </c>
      <c r="I1306" s="191">
        <v>0</v>
      </c>
      <c r="J1306" s="191">
        <v>0</v>
      </c>
      <c r="K1306" s="191">
        <v>0</v>
      </c>
      <c r="L1306" s="191">
        <v>0</v>
      </c>
      <c r="M1306" s="191">
        <v>0</v>
      </c>
      <c r="N1306" s="191">
        <v>0</v>
      </c>
      <c r="O1306" s="191">
        <v>0</v>
      </c>
      <c r="P1306" s="193">
        <v>1172.76</v>
      </c>
    </row>
    <row r="1307" spans="1:16" x14ac:dyDescent="0.25">
      <c r="A1307" s="190">
        <v>801010402</v>
      </c>
      <c r="B1307" s="190" t="s">
        <v>423</v>
      </c>
      <c r="C1307" s="190">
        <v>5151</v>
      </c>
      <c r="D1307" s="190" t="s">
        <v>409</v>
      </c>
      <c r="E1307" s="191">
        <v>0</v>
      </c>
      <c r="F1307" s="191">
        <v>0</v>
      </c>
      <c r="G1307" s="191">
        <v>0</v>
      </c>
      <c r="H1307" s="191">
        <v>0</v>
      </c>
      <c r="I1307" s="191">
        <v>0</v>
      </c>
      <c r="J1307" s="191">
        <v>0</v>
      </c>
      <c r="K1307" s="191">
        <v>0</v>
      </c>
      <c r="L1307" s="193">
        <v>13166</v>
      </c>
      <c r="M1307" s="191">
        <v>0</v>
      </c>
      <c r="N1307" s="191">
        <v>0</v>
      </c>
      <c r="O1307" s="191">
        <v>0</v>
      </c>
      <c r="P1307" s="191">
        <v>0</v>
      </c>
    </row>
    <row r="1308" spans="1:16" x14ac:dyDescent="0.25">
      <c r="A1308" s="190">
        <v>801010402</v>
      </c>
      <c r="B1308" s="190" t="s">
        <v>425</v>
      </c>
      <c r="C1308" s="190">
        <v>5151</v>
      </c>
      <c r="D1308" s="190" t="s">
        <v>408</v>
      </c>
      <c r="E1308" s="191">
        <v>0</v>
      </c>
      <c r="F1308" s="191">
        <v>0</v>
      </c>
      <c r="G1308" s="191">
        <v>0</v>
      </c>
      <c r="H1308" s="191">
        <v>0</v>
      </c>
      <c r="I1308" s="191">
        <v>0</v>
      </c>
      <c r="J1308" s="191">
        <v>0</v>
      </c>
      <c r="K1308" s="191">
        <v>0</v>
      </c>
      <c r="L1308" s="191">
        <v>0</v>
      </c>
      <c r="M1308" s="191">
        <v>0</v>
      </c>
      <c r="N1308" s="191">
        <v>0</v>
      </c>
      <c r="O1308" s="193">
        <v>9186.1200000000008</v>
      </c>
      <c r="P1308" s="191">
        <v>0</v>
      </c>
    </row>
    <row r="1309" spans="1:16" x14ac:dyDescent="0.25">
      <c r="A1309" s="190">
        <v>801010402</v>
      </c>
      <c r="B1309" s="190" t="s">
        <v>433</v>
      </c>
      <c r="C1309" s="190">
        <v>5151</v>
      </c>
      <c r="D1309" s="190" t="s">
        <v>409</v>
      </c>
      <c r="E1309" s="191">
        <v>0</v>
      </c>
      <c r="F1309" s="191">
        <v>0</v>
      </c>
      <c r="G1309" s="191">
        <v>0</v>
      </c>
      <c r="H1309" s="191">
        <v>0</v>
      </c>
      <c r="I1309" s="191">
        <v>0</v>
      </c>
      <c r="J1309" s="191">
        <v>0</v>
      </c>
      <c r="K1309" s="191">
        <v>0</v>
      </c>
      <c r="L1309" s="193">
        <v>13166</v>
      </c>
      <c r="M1309" s="191">
        <v>0</v>
      </c>
      <c r="N1309" s="191">
        <v>0</v>
      </c>
      <c r="O1309" s="191">
        <v>0</v>
      </c>
      <c r="P1309" s="191">
        <v>0</v>
      </c>
    </row>
    <row r="1310" spans="1:16" x14ac:dyDescent="0.25">
      <c r="A1310" s="190">
        <v>801010402</v>
      </c>
      <c r="B1310" s="190" t="s">
        <v>434</v>
      </c>
      <c r="C1310" s="190">
        <v>5151</v>
      </c>
      <c r="D1310" s="190" t="s">
        <v>409</v>
      </c>
      <c r="E1310" s="191">
        <v>0</v>
      </c>
      <c r="F1310" s="191">
        <v>0</v>
      </c>
      <c r="G1310" s="191">
        <v>0</v>
      </c>
      <c r="H1310" s="191">
        <v>0</v>
      </c>
      <c r="I1310" s="191">
        <v>0</v>
      </c>
      <c r="J1310" s="191">
        <v>0</v>
      </c>
      <c r="K1310" s="191">
        <v>0</v>
      </c>
      <c r="L1310" s="193">
        <v>13166</v>
      </c>
      <c r="M1310" s="191">
        <v>0</v>
      </c>
      <c r="N1310" s="191">
        <v>0</v>
      </c>
      <c r="O1310" s="191">
        <v>0</v>
      </c>
      <c r="P1310" s="191">
        <v>0</v>
      </c>
    </row>
    <row r="1311" spans="1:16" x14ac:dyDescent="0.25">
      <c r="A1311" s="190">
        <v>801010402</v>
      </c>
      <c r="B1311" s="190" t="s">
        <v>434</v>
      </c>
      <c r="C1311" s="190">
        <v>5151</v>
      </c>
      <c r="D1311" s="190" t="s">
        <v>408</v>
      </c>
      <c r="E1311" s="191">
        <v>0</v>
      </c>
      <c r="F1311" s="191">
        <v>0</v>
      </c>
      <c r="G1311" s="191">
        <v>0</v>
      </c>
      <c r="H1311" s="191">
        <v>0</v>
      </c>
      <c r="I1311" s="191">
        <v>0</v>
      </c>
      <c r="J1311" s="191">
        <v>0</v>
      </c>
      <c r="K1311" s="191">
        <v>0</v>
      </c>
      <c r="L1311" s="193">
        <v>11073.91</v>
      </c>
      <c r="M1311" s="191">
        <v>0</v>
      </c>
      <c r="N1311" s="191">
        <v>0</v>
      </c>
      <c r="O1311" s="191">
        <v>0</v>
      </c>
      <c r="P1311" s="191">
        <v>0</v>
      </c>
    </row>
    <row r="1312" spans="1:16" x14ac:dyDescent="0.25">
      <c r="A1312" s="190">
        <v>801010402</v>
      </c>
      <c r="B1312" s="190" t="s">
        <v>435</v>
      </c>
      <c r="C1312" s="190">
        <v>5151</v>
      </c>
      <c r="D1312" s="190" t="s">
        <v>409</v>
      </c>
      <c r="E1312" s="191">
        <v>0</v>
      </c>
      <c r="F1312" s="191">
        <v>0</v>
      </c>
      <c r="G1312" s="191">
        <v>0</v>
      </c>
      <c r="H1312" s="191">
        <v>0</v>
      </c>
      <c r="I1312" s="191">
        <v>0</v>
      </c>
      <c r="J1312" s="191">
        <v>0</v>
      </c>
      <c r="K1312" s="191">
        <v>0</v>
      </c>
      <c r="L1312" s="193">
        <v>13166</v>
      </c>
      <c r="M1312" s="191">
        <v>0</v>
      </c>
      <c r="N1312" s="191">
        <v>0</v>
      </c>
      <c r="O1312" s="191">
        <v>0</v>
      </c>
      <c r="P1312" s="191">
        <v>0</v>
      </c>
    </row>
    <row r="1313" spans="1:16" x14ac:dyDescent="0.25">
      <c r="A1313" s="190">
        <v>801010402</v>
      </c>
      <c r="B1313" s="190" t="s">
        <v>436</v>
      </c>
      <c r="C1313" s="190">
        <v>5151</v>
      </c>
      <c r="D1313" s="190" t="s">
        <v>409</v>
      </c>
      <c r="E1313" s="191">
        <v>0</v>
      </c>
      <c r="F1313" s="191">
        <v>0</v>
      </c>
      <c r="G1313" s="191">
        <v>0</v>
      </c>
      <c r="H1313" s="191">
        <v>0</v>
      </c>
      <c r="I1313" s="191">
        <v>0</v>
      </c>
      <c r="J1313" s="191">
        <v>0</v>
      </c>
      <c r="K1313" s="191">
        <v>0</v>
      </c>
      <c r="L1313" s="193">
        <v>13166</v>
      </c>
      <c r="M1313" s="191">
        <v>0</v>
      </c>
      <c r="N1313" s="191">
        <v>0</v>
      </c>
      <c r="O1313" s="191">
        <v>0</v>
      </c>
      <c r="P1313" s="191">
        <v>0</v>
      </c>
    </row>
    <row r="1314" spans="1:16" x14ac:dyDescent="0.25">
      <c r="A1314" s="190">
        <v>801010402</v>
      </c>
      <c r="B1314" s="190" t="s">
        <v>436</v>
      </c>
      <c r="C1314" s="190">
        <v>5151</v>
      </c>
      <c r="D1314" s="190" t="s">
        <v>408</v>
      </c>
      <c r="E1314" s="191">
        <v>0</v>
      </c>
      <c r="F1314" s="191">
        <v>0</v>
      </c>
      <c r="G1314" s="191">
        <v>0</v>
      </c>
      <c r="H1314" s="191">
        <v>0</v>
      </c>
      <c r="I1314" s="191">
        <v>0</v>
      </c>
      <c r="J1314" s="193">
        <v>1999</v>
      </c>
      <c r="K1314" s="191">
        <v>0</v>
      </c>
      <c r="L1314" s="191">
        <v>0</v>
      </c>
      <c r="M1314" s="191">
        <v>0</v>
      </c>
      <c r="N1314" s="191">
        <v>0</v>
      </c>
      <c r="O1314" s="191">
        <v>0</v>
      </c>
      <c r="P1314" s="191">
        <v>0</v>
      </c>
    </row>
    <row r="1315" spans="1:16" x14ac:dyDescent="0.25">
      <c r="A1315" s="190">
        <v>801010402</v>
      </c>
      <c r="B1315" s="190" t="s">
        <v>437</v>
      </c>
      <c r="C1315" s="190">
        <v>5151</v>
      </c>
      <c r="D1315" s="190" t="s">
        <v>409</v>
      </c>
      <c r="E1315" s="191">
        <v>0</v>
      </c>
      <c r="F1315" s="191">
        <v>0</v>
      </c>
      <c r="G1315" s="191">
        <v>0</v>
      </c>
      <c r="H1315" s="191">
        <v>0</v>
      </c>
      <c r="I1315" s="191">
        <v>0</v>
      </c>
      <c r="J1315" s="191">
        <v>0</v>
      </c>
      <c r="K1315" s="191">
        <v>0</v>
      </c>
      <c r="L1315" s="193">
        <v>13166</v>
      </c>
      <c r="M1315" s="191">
        <v>0</v>
      </c>
      <c r="N1315" s="191">
        <v>0</v>
      </c>
      <c r="O1315" s="191">
        <v>0</v>
      </c>
      <c r="P1315" s="191">
        <v>0</v>
      </c>
    </row>
    <row r="1316" spans="1:16" x14ac:dyDescent="0.25">
      <c r="A1316" s="190">
        <v>801010402</v>
      </c>
      <c r="B1316" s="190" t="s">
        <v>412</v>
      </c>
      <c r="C1316" s="190">
        <v>5191</v>
      </c>
      <c r="D1316" s="190" t="s">
        <v>408</v>
      </c>
      <c r="E1316" s="191">
        <v>0</v>
      </c>
      <c r="F1316" s="191">
        <v>0</v>
      </c>
      <c r="G1316" s="191">
        <v>0</v>
      </c>
      <c r="H1316" s="191">
        <v>0</v>
      </c>
      <c r="I1316" s="191">
        <v>0</v>
      </c>
      <c r="J1316" s="191">
        <v>0</v>
      </c>
      <c r="K1316" s="191">
        <v>0</v>
      </c>
      <c r="L1316" s="193">
        <v>5423</v>
      </c>
      <c r="M1316" s="191">
        <v>0</v>
      </c>
      <c r="N1316" s="191">
        <v>0</v>
      </c>
      <c r="O1316" s="191">
        <v>0</v>
      </c>
      <c r="P1316" s="191">
        <v>0</v>
      </c>
    </row>
    <row r="1317" spans="1:16" x14ac:dyDescent="0.25">
      <c r="A1317" s="190">
        <v>801010402</v>
      </c>
      <c r="B1317" s="190" t="s">
        <v>416</v>
      </c>
      <c r="C1317" s="190">
        <v>5191</v>
      </c>
      <c r="D1317" s="190" t="s">
        <v>408</v>
      </c>
      <c r="E1317" s="191">
        <v>0</v>
      </c>
      <c r="F1317" s="191">
        <v>0</v>
      </c>
      <c r="G1317" s="191">
        <v>0</v>
      </c>
      <c r="H1317" s="191">
        <v>0</v>
      </c>
      <c r="I1317" s="191">
        <v>0</v>
      </c>
      <c r="J1317" s="191">
        <v>0</v>
      </c>
      <c r="K1317" s="191">
        <v>0</v>
      </c>
      <c r="L1317" s="193">
        <v>3804.8</v>
      </c>
      <c r="M1317" s="191">
        <v>0</v>
      </c>
      <c r="N1317" s="191">
        <v>0</v>
      </c>
      <c r="O1317" s="191">
        <v>0</v>
      </c>
      <c r="P1317" s="191">
        <v>0</v>
      </c>
    </row>
    <row r="1318" spans="1:16" x14ac:dyDescent="0.25">
      <c r="A1318" s="190">
        <v>801010402</v>
      </c>
      <c r="B1318" s="190" t="s">
        <v>425</v>
      </c>
      <c r="C1318" s="190">
        <v>5191</v>
      </c>
      <c r="D1318" s="190" t="s">
        <v>408</v>
      </c>
      <c r="E1318" s="191">
        <v>0</v>
      </c>
      <c r="F1318" s="191">
        <v>0</v>
      </c>
      <c r="G1318" s="191">
        <v>0</v>
      </c>
      <c r="H1318" s="191">
        <v>0</v>
      </c>
      <c r="I1318" s="191">
        <v>0</v>
      </c>
      <c r="J1318" s="191">
        <v>0</v>
      </c>
      <c r="K1318" s="191">
        <v>0</v>
      </c>
      <c r="L1318" s="191">
        <v>0</v>
      </c>
      <c r="M1318" s="191">
        <v>0</v>
      </c>
      <c r="N1318" s="191">
        <v>0</v>
      </c>
      <c r="O1318" s="193">
        <v>2185.44</v>
      </c>
      <c r="P1318" s="191">
        <v>0</v>
      </c>
    </row>
    <row r="1319" spans="1:16" x14ac:dyDescent="0.25">
      <c r="A1319" s="190">
        <v>801010402</v>
      </c>
      <c r="B1319" s="190" t="s">
        <v>407</v>
      </c>
      <c r="C1319" s="190">
        <v>5192</v>
      </c>
      <c r="D1319" s="190" t="s">
        <v>408</v>
      </c>
      <c r="E1319" s="191">
        <v>0</v>
      </c>
      <c r="F1319" s="191">
        <v>0</v>
      </c>
      <c r="G1319" s="191">
        <v>0</v>
      </c>
      <c r="H1319" s="191">
        <v>0</v>
      </c>
      <c r="I1319" s="191">
        <v>0</v>
      </c>
      <c r="J1319" s="193">
        <v>13855.04</v>
      </c>
      <c r="K1319" s="191">
        <v>0</v>
      </c>
      <c r="L1319" s="193">
        <v>9480.9699999999993</v>
      </c>
      <c r="M1319" s="191">
        <v>0</v>
      </c>
      <c r="N1319" s="191">
        <v>0</v>
      </c>
      <c r="O1319" s="191">
        <v>0</v>
      </c>
      <c r="P1319" s="191">
        <v>0</v>
      </c>
    </row>
    <row r="1320" spans="1:16" x14ac:dyDescent="0.25">
      <c r="A1320" s="190">
        <v>801010402</v>
      </c>
      <c r="B1320" s="190" t="s">
        <v>407</v>
      </c>
      <c r="C1320" s="190">
        <v>5231</v>
      </c>
      <c r="D1320" s="190" t="s">
        <v>408</v>
      </c>
      <c r="E1320" s="191">
        <v>0</v>
      </c>
      <c r="F1320" s="191">
        <v>0</v>
      </c>
      <c r="G1320" s="191">
        <v>0</v>
      </c>
      <c r="H1320" s="191">
        <v>0</v>
      </c>
      <c r="I1320" s="191">
        <v>0</v>
      </c>
      <c r="J1320" s="191">
        <v>0</v>
      </c>
      <c r="K1320" s="193">
        <v>11789.09</v>
      </c>
      <c r="L1320" s="191">
        <v>0</v>
      </c>
      <c r="M1320" s="191">
        <v>0</v>
      </c>
      <c r="N1320" s="191">
        <v>0</v>
      </c>
      <c r="O1320" s="191">
        <v>0</v>
      </c>
      <c r="P1320" s="193">
        <v>2972.8</v>
      </c>
    </row>
    <row r="1321" spans="1:16" x14ac:dyDescent="0.25">
      <c r="A1321" s="190">
        <v>801010402</v>
      </c>
      <c r="B1321" s="190" t="s">
        <v>410</v>
      </c>
      <c r="C1321" s="190">
        <v>5231</v>
      </c>
      <c r="D1321" s="190" t="s">
        <v>408</v>
      </c>
      <c r="E1321" s="191">
        <v>0</v>
      </c>
      <c r="F1321" s="191">
        <v>0</v>
      </c>
      <c r="G1321" s="191">
        <v>0</v>
      </c>
      <c r="H1321" s="191">
        <v>0</v>
      </c>
      <c r="I1321" s="191">
        <v>0</v>
      </c>
      <c r="J1321" s="191">
        <v>0</v>
      </c>
      <c r="K1321" s="191">
        <v>0</v>
      </c>
      <c r="L1321" s="191">
        <v>0</v>
      </c>
      <c r="M1321" s="191">
        <v>0</v>
      </c>
      <c r="N1321" s="191">
        <v>0</v>
      </c>
      <c r="O1321" s="191">
        <v>0</v>
      </c>
      <c r="P1321" s="193">
        <v>1486.4</v>
      </c>
    </row>
    <row r="1322" spans="1:16" x14ac:dyDescent="0.25">
      <c r="A1322" s="190">
        <v>801010402</v>
      </c>
      <c r="B1322" s="190" t="s">
        <v>411</v>
      </c>
      <c r="C1322" s="190">
        <v>5231</v>
      </c>
      <c r="D1322" s="190" t="s">
        <v>408</v>
      </c>
      <c r="E1322" s="191">
        <v>0</v>
      </c>
      <c r="F1322" s="191">
        <v>0</v>
      </c>
      <c r="G1322" s="191">
        <v>0</v>
      </c>
      <c r="H1322" s="191">
        <v>0</v>
      </c>
      <c r="I1322" s="191">
        <v>0</v>
      </c>
      <c r="J1322" s="191">
        <v>0</v>
      </c>
      <c r="K1322" s="191">
        <v>0</v>
      </c>
      <c r="L1322" s="191">
        <v>0</v>
      </c>
      <c r="M1322" s="191">
        <v>0</v>
      </c>
      <c r="N1322" s="191">
        <v>0</v>
      </c>
      <c r="O1322" s="191">
        <v>0</v>
      </c>
      <c r="P1322" s="193">
        <v>1486.4</v>
      </c>
    </row>
    <row r="1323" spans="1:16" x14ac:dyDescent="0.25">
      <c r="A1323" s="190">
        <v>801010402</v>
      </c>
      <c r="B1323" s="190" t="s">
        <v>412</v>
      </c>
      <c r="C1323" s="190">
        <v>5231</v>
      </c>
      <c r="D1323" s="190" t="s">
        <v>408</v>
      </c>
      <c r="E1323" s="191">
        <v>0</v>
      </c>
      <c r="F1323" s="191">
        <v>0</v>
      </c>
      <c r="G1323" s="191">
        <v>0</v>
      </c>
      <c r="H1323" s="191">
        <v>0</v>
      </c>
      <c r="I1323" s="191">
        <v>0</v>
      </c>
      <c r="J1323" s="191">
        <v>0</v>
      </c>
      <c r="K1323" s="191">
        <v>0</v>
      </c>
      <c r="L1323" s="191">
        <v>0</v>
      </c>
      <c r="M1323" s="191">
        <v>0</v>
      </c>
      <c r="N1323" s="191">
        <v>0</v>
      </c>
      <c r="O1323" s="191">
        <v>0</v>
      </c>
      <c r="P1323" s="193">
        <v>1486.4</v>
      </c>
    </row>
    <row r="1324" spans="1:16" x14ac:dyDescent="0.25">
      <c r="A1324" s="190">
        <v>801010402</v>
      </c>
      <c r="B1324" s="190" t="s">
        <v>413</v>
      </c>
      <c r="C1324" s="190">
        <v>5231</v>
      </c>
      <c r="D1324" s="190" t="s">
        <v>408</v>
      </c>
      <c r="E1324" s="191">
        <v>0</v>
      </c>
      <c r="F1324" s="191">
        <v>0</v>
      </c>
      <c r="G1324" s="191">
        <v>0</v>
      </c>
      <c r="H1324" s="191">
        <v>0</v>
      </c>
      <c r="I1324" s="191">
        <v>0</v>
      </c>
      <c r="J1324" s="191">
        <v>0</v>
      </c>
      <c r="K1324" s="191">
        <v>0</v>
      </c>
      <c r="L1324" s="191">
        <v>0</v>
      </c>
      <c r="M1324" s="191">
        <v>0</v>
      </c>
      <c r="N1324" s="191">
        <v>0</v>
      </c>
      <c r="O1324" s="191">
        <v>0</v>
      </c>
      <c r="P1324" s="193">
        <v>1486.4</v>
      </c>
    </row>
    <row r="1325" spans="1:16" x14ac:dyDescent="0.25">
      <c r="A1325" s="190">
        <v>801010402</v>
      </c>
      <c r="B1325" s="190" t="s">
        <v>414</v>
      </c>
      <c r="C1325" s="190">
        <v>5231</v>
      </c>
      <c r="D1325" s="190" t="s">
        <v>408</v>
      </c>
      <c r="E1325" s="191">
        <v>0</v>
      </c>
      <c r="F1325" s="191">
        <v>0</v>
      </c>
      <c r="G1325" s="191">
        <v>0</v>
      </c>
      <c r="H1325" s="191">
        <v>0</v>
      </c>
      <c r="I1325" s="191">
        <v>0</v>
      </c>
      <c r="J1325" s="191">
        <v>0</v>
      </c>
      <c r="K1325" s="191">
        <v>0</v>
      </c>
      <c r="L1325" s="191">
        <v>0</v>
      </c>
      <c r="M1325" s="191">
        <v>0</v>
      </c>
      <c r="N1325" s="191">
        <v>0</v>
      </c>
      <c r="O1325" s="191">
        <v>0</v>
      </c>
      <c r="P1325" s="193">
        <v>1486.4</v>
      </c>
    </row>
    <row r="1326" spans="1:16" x14ac:dyDescent="0.25">
      <c r="A1326" s="190">
        <v>801010402</v>
      </c>
      <c r="B1326" s="190" t="s">
        <v>415</v>
      </c>
      <c r="C1326" s="190">
        <v>5231</v>
      </c>
      <c r="D1326" s="190" t="s">
        <v>408</v>
      </c>
      <c r="E1326" s="191">
        <v>0</v>
      </c>
      <c r="F1326" s="191">
        <v>0</v>
      </c>
      <c r="G1326" s="191">
        <v>0</v>
      </c>
      <c r="H1326" s="191">
        <v>0</v>
      </c>
      <c r="I1326" s="191">
        <v>0</v>
      </c>
      <c r="J1326" s="191">
        <v>0</v>
      </c>
      <c r="K1326" s="191">
        <v>0</v>
      </c>
      <c r="L1326" s="191">
        <v>0</v>
      </c>
      <c r="M1326" s="191">
        <v>0</v>
      </c>
      <c r="N1326" s="191">
        <v>0</v>
      </c>
      <c r="O1326" s="191">
        <v>0</v>
      </c>
      <c r="P1326" s="193">
        <v>1486.4</v>
      </c>
    </row>
    <row r="1327" spans="1:16" x14ac:dyDescent="0.25">
      <c r="A1327" s="190">
        <v>801010402</v>
      </c>
      <c r="B1327" s="190" t="s">
        <v>416</v>
      </c>
      <c r="C1327" s="190">
        <v>5231</v>
      </c>
      <c r="D1327" s="190" t="s">
        <v>408</v>
      </c>
      <c r="E1327" s="191">
        <v>0</v>
      </c>
      <c r="F1327" s="191">
        <v>0</v>
      </c>
      <c r="G1327" s="191">
        <v>0</v>
      </c>
      <c r="H1327" s="191">
        <v>0</v>
      </c>
      <c r="I1327" s="191">
        <v>0</v>
      </c>
      <c r="J1327" s="191">
        <v>0</v>
      </c>
      <c r="K1327" s="191">
        <v>0</v>
      </c>
      <c r="L1327" s="191">
        <v>0</v>
      </c>
      <c r="M1327" s="191">
        <v>0</v>
      </c>
      <c r="N1327" s="191">
        <v>0</v>
      </c>
      <c r="O1327" s="191">
        <v>0</v>
      </c>
      <c r="P1327" s="193">
        <v>1486.4</v>
      </c>
    </row>
    <row r="1328" spans="1:16" x14ac:dyDescent="0.25">
      <c r="A1328" s="190">
        <v>801010402</v>
      </c>
      <c r="B1328" s="190" t="s">
        <v>417</v>
      </c>
      <c r="C1328" s="190">
        <v>5231</v>
      </c>
      <c r="D1328" s="190" t="s">
        <v>408</v>
      </c>
      <c r="E1328" s="191">
        <v>0</v>
      </c>
      <c r="F1328" s="191">
        <v>0</v>
      </c>
      <c r="G1328" s="191">
        <v>0</v>
      </c>
      <c r="H1328" s="191">
        <v>0</v>
      </c>
      <c r="I1328" s="191">
        <v>0</v>
      </c>
      <c r="J1328" s="191">
        <v>0</v>
      </c>
      <c r="K1328" s="191">
        <v>0</v>
      </c>
      <c r="L1328" s="191">
        <v>0</v>
      </c>
      <c r="M1328" s="191">
        <v>0</v>
      </c>
      <c r="N1328" s="191">
        <v>0</v>
      </c>
      <c r="O1328" s="191">
        <v>0</v>
      </c>
      <c r="P1328" s="193">
        <v>1486.4</v>
      </c>
    </row>
    <row r="1329" spans="1:16" x14ac:dyDescent="0.25">
      <c r="A1329" s="190">
        <v>801010402</v>
      </c>
      <c r="B1329" s="190" t="s">
        <v>419</v>
      </c>
      <c r="C1329" s="190">
        <v>5231</v>
      </c>
      <c r="D1329" s="190" t="s">
        <v>408</v>
      </c>
      <c r="E1329" s="191">
        <v>0</v>
      </c>
      <c r="F1329" s="191">
        <v>0</v>
      </c>
      <c r="G1329" s="191">
        <v>0</v>
      </c>
      <c r="H1329" s="191">
        <v>0</v>
      </c>
      <c r="I1329" s="191">
        <v>0</v>
      </c>
      <c r="J1329" s="191">
        <v>0</v>
      </c>
      <c r="K1329" s="191">
        <v>0</v>
      </c>
      <c r="L1329" s="191">
        <v>0</v>
      </c>
      <c r="M1329" s="191">
        <v>0</v>
      </c>
      <c r="N1329" s="191">
        <v>0</v>
      </c>
      <c r="O1329" s="191">
        <v>0</v>
      </c>
      <c r="P1329" s="193">
        <v>1486.4</v>
      </c>
    </row>
    <row r="1330" spans="1:16" x14ac:dyDescent="0.25">
      <c r="A1330" s="190">
        <v>801010402</v>
      </c>
      <c r="B1330" s="190" t="s">
        <v>420</v>
      </c>
      <c r="C1330" s="190">
        <v>5231</v>
      </c>
      <c r="D1330" s="190" t="s">
        <v>408</v>
      </c>
      <c r="E1330" s="191">
        <v>0</v>
      </c>
      <c r="F1330" s="191">
        <v>0</v>
      </c>
      <c r="G1330" s="191">
        <v>0</v>
      </c>
      <c r="H1330" s="191">
        <v>0</v>
      </c>
      <c r="I1330" s="191">
        <v>0</v>
      </c>
      <c r="J1330" s="191">
        <v>0</v>
      </c>
      <c r="K1330" s="191">
        <v>0</v>
      </c>
      <c r="L1330" s="191">
        <v>0</v>
      </c>
      <c r="M1330" s="191">
        <v>0</v>
      </c>
      <c r="N1330" s="191">
        <v>0</v>
      </c>
      <c r="O1330" s="191">
        <v>0</v>
      </c>
      <c r="P1330" s="193">
        <v>1486.4</v>
      </c>
    </row>
    <row r="1331" spans="1:16" x14ac:dyDescent="0.25">
      <c r="A1331" s="190">
        <v>801010402</v>
      </c>
      <c r="B1331" s="190" t="s">
        <v>421</v>
      </c>
      <c r="C1331" s="190">
        <v>5231</v>
      </c>
      <c r="D1331" s="190" t="s">
        <v>408</v>
      </c>
      <c r="E1331" s="191">
        <v>0</v>
      </c>
      <c r="F1331" s="191">
        <v>0</v>
      </c>
      <c r="G1331" s="191">
        <v>0</v>
      </c>
      <c r="H1331" s="191">
        <v>0</v>
      </c>
      <c r="I1331" s="191">
        <v>0</v>
      </c>
      <c r="J1331" s="191">
        <v>0</v>
      </c>
      <c r="K1331" s="191">
        <v>0</v>
      </c>
      <c r="L1331" s="191">
        <v>0</v>
      </c>
      <c r="M1331" s="191">
        <v>0</v>
      </c>
      <c r="N1331" s="191">
        <v>0</v>
      </c>
      <c r="O1331" s="191">
        <v>0</v>
      </c>
      <c r="P1331" s="193">
        <v>1486.4</v>
      </c>
    </row>
    <row r="1332" spans="1:16" x14ac:dyDescent="0.25">
      <c r="A1332" s="190">
        <v>801010402</v>
      </c>
      <c r="B1332" s="190" t="s">
        <v>422</v>
      </c>
      <c r="C1332" s="190">
        <v>5231</v>
      </c>
      <c r="D1332" s="190" t="s">
        <v>408</v>
      </c>
      <c r="E1332" s="191">
        <v>0</v>
      </c>
      <c r="F1332" s="191">
        <v>0</v>
      </c>
      <c r="G1332" s="191">
        <v>0</v>
      </c>
      <c r="H1332" s="191">
        <v>0</v>
      </c>
      <c r="I1332" s="191">
        <v>0</v>
      </c>
      <c r="J1332" s="191">
        <v>0</v>
      </c>
      <c r="K1332" s="191">
        <v>0</v>
      </c>
      <c r="L1332" s="191">
        <v>0</v>
      </c>
      <c r="M1332" s="191">
        <v>0</v>
      </c>
      <c r="N1332" s="191">
        <v>0</v>
      </c>
      <c r="O1332" s="191">
        <v>0</v>
      </c>
      <c r="P1332" s="193">
        <v>1486.4</v>
      </c>
    </row>
    <row r="1333" spans="1:16" x14ac:dyDescent="0.25">
      <c r="A1333" s="190">
        <v>801010402</v>
      </c>
      <c r="B1333" s="190" t="s">
        <v>423</v>
      </c>
      <c r="C1333" s="190">
        <v>5231</v>
      </c>
      <c r="D1333" s="190" t="s">
        <v>408</v>
      </c>
      <c r="E1333" s="191">
        <v>0</v>
      </c>
      <c r="F1333" s="191">
        <v>0</v>
      </c>
      <c r="G1333" s="191">
        <v>0</v>
      </c>
      <c r="H1333" s="191">
        <v>0</v>
      </c>
      <c r="I1333" s="191">
        <v>0</v>
      </c>
      <c r="J1333" s="191">
        <v>0</v>
      </c>
      <c r="K1333" s="191">
        <v>0</v>
      </c>
      <c r="L1333" s="191">
        <v>0</v>
      </c>
      <c r="M1333" s="191">
        <v>0</v>
      </c>
      <c r="N1333" s="191">
        <v>0</v>
      </c>
      <c r="O1333" s="191">
        <v>0</v>
      </c>
      <c r="P1333" s="193">
        <v>1486.4</v>
      </c>
    </row>
    <row r="1334" spans="1:16" x14ac:dyDescent="0.25">
      <c r="A1334" s="190">
        <v>801010402</v>
      </c>
      <c r="B1334" s="190" t="s">
        <v>424</v>
      </c>
      <c r="C1334" s="190">
        <v>5231</v>
      </c>
      <c r="D1334" s="190" t="s">
        <v>408</v>
      </c>
      <c r="E1334" s="191">
        <v>0</v>
      </c>
      <c r="F1334" s="191">
        <v>0</v>
      </c>
      <c r="G1334" s="191">
        <v>0</v>
      </c>
      <c r="H1334" s="191">
        <v>0</v>
      </c>
      <c r="I1334" s="191">
        <v>0</v>
      </c>
      <c r="J1334" s="191">
        <v>0</v>
      </c>
      <c r="K1334" s="191">
        <v>0</v>
      </c>
      <c r="L1334" s="191">
        <v>0</v>
      </c>
      <c r="M1334" s="191">
        <v>0</v>
      </c>
      <c r="N1334" s="191">
        <v>0</v>
      </c>
      <c r="O1334" s="191">
        <v>0</v>
      </c>
      <c r="P1334" s="193">
        <v>1486.4</v>
      </c>
    </row>
    <row r="1335" spans="1:16" x14ac:dyDescent="0.25">
      <c r="A1335" s="190">
        <v>801010402</v>
      </c>
      <c r="B1335" s="190" t="s">
        <v>425</v>
      </c>
      <c r="C1335" s="190">
        <v>5231</v>
      </c>
      <c r="D1335" s="190" t="s">
        <v>408</v>
      </c>
      <c r="E1335" s="191">
        <v>0</v>
      </c>
      <c r="F1335" s="191">
        <v>0</v>
      </c>
      <c r="G1335" s="191">
        <v>0</v>
      </c>
      <c r="H1335" s="191">
        <v>0</v>
      </c>
      <c r="I1335" s="191">
        <v>0</v>
      </c>
      <c r="J1335" s="191">
        <v>0</v>
      </c>
      <c r="K1335" s="191">
        <v>0</v>
      </c>
      <c r="L1335" s="191">
        <v>0</v>
      </c>
      <c r="M1335" s="191">
        <v>0</v>
      </c>
      <c r="N1335" s="191">
        <v>0</v>
      </c>
      <c r="O1335" s="191">
        <v>0</v>
      </c>
      <c r="P1335" s="193">
        <v>1486.4</v>
      </c>
    </row>
    <row r="1336" spans="1:16" x14ac:dyDescent="0.25">
      <c r="A1336" s="190">
        <v>801010402</v>
      </c>
      <c r="B1336" s="190" t="s">
        <v>426</v>
      </c>
      <c r="C1336" s="190">
        <v>5231</v>
      </c>
      <c r="D1336" s="190" t="s">
        <v>408</v>
      </c>
      <c r="E1336" s="191">
        <v>0</v>
      </c>
      <c r="F1336" s="191">
        <v>0</v>
      </c>
      <c r="G1336" s="191">
        <v>0</v>
      </c>
      <c r="H1336" s="191">
        <v>0</v>
      </c>
      <c r="I1336" s="191">
        <v>0</v>
      </c>
      <c r="J1336" s="191">
        <v>0</v>
      </c>
      <c r="K1336" s="191">
        <v>0</v>
      </c>
      <c r="L1336" s="191">
        <v>0</v>
      </c>
      <c r="M1336" s="191">
        <v>0</v>
      </c>
      <c r="N1336" s="191">
        <v>0</v>
      </c>
      <c r="O1336" s="191">
        <v>0</v>
      </c>
      <c r="P1336" s="193">
        <v>1486.4</v>
      </c>
    </row>
    <row r="1337" spans="1:16" x14ac:dyDescent="0.25">
      <c r="A1337" s="190">
        <v>801010402</v>
      </c>
      <c r="B1337" s="190" t="s">
        <v>427</v>
      </c>
      <c r="C1337" s="190">
        <v>5231</v>
      </c>
      <c r="D1337" s="190" t="s">
        <v>408</v>
      </c>
      <c r="E1337" s="191">
        <v>0</v>
      </c>
      <c r="F1337" s="191">
        <v>0</v>
      </c>
      <c r="G1337" s="191">
        <v>0</v>
      </c>
      <c r="H1337" s="191">
        <v>0</v>
      </c>
      <c r="I1337" s="191">
        <v>0</v>
      </c>
      <c r="J1337" s="191">
        <v>0</v>
      </c>
      <c r="K1337" s="191">
        <v>0</v>
      </c>
      <c r="L1337" s="191">
        <v>0</v>
      </c>
      <c r="M1337" s="191">
        <v>0</v>
      </c>
      <c r="N1337" s="191">
        <v>0</v>
      </c>
      <c r="O1337" s="191">
        <v>0</v>
      </c>
      <c r="P1337" s="193">
        <v>1486.4</v>
      </c>
    </row>
    <row r="1338" spans="1:16" x14ac:dyDescent="0.25">
      <c r="A1338" s="190">
        <v>801010402</v>
      </c>
      <c r="B1338" s="190" t="s">
        <v>428</v>
      </c>
      <c r="C1338" s="190">
        <v>5231</v>
      </c>
      <c r="D1338" s="190" t="s">
        <v>408</v>
      </c>
      <c r="E1338" s="191">
        <v>0</v>
      </c>
      <c r="F1338" s="191">
        <v>0</v>
      </c>
      <c r="G1338" s="191">
        <v>0</v>
      </c>
      <c r="H1338" s="191">
        <v>0</v>
      </c>
      <c r="I1338" s="191">
        <v>0</v>
      </c>
      <c r="J1338" s="191">
        <v>0</v>
      </c>
      <c r="K1338" s="191">
        <v>0</v>
      </c>
      <c r="L1338" s="191">
        <v>0</v>
      </c>
      <c r="M1338" s="191">
        <v>0</v>
      </c>
      <c r="N1338" s="191">
        <v>0</v>
      </c>
      <c r="O1338" s="191">
        <v>0</v>
      </c>
      <c r="P1338" s="193">
        <v>1486.4</v>
      </c>
    </row>
    <row r="1339" spans="1:16" x14ac:dyDescent="0.25">
      <c r="A1339" s="190">
        <v>801010402</v>
      </c>
      <c r="B1339" s="190" t="s">
        <v>429</v>
      </c>
      <c r="C1339" s="190">
        <v>5231</v>
      </c>
      <c r="D1339" s="190" t="s">
        <v>408</v>
      </c>
      <c r="E1339" s="191">
        <v>0</v>
      </c>
      <c r="F1339" s="191">
        <v>0</v>
      </c>
      <c r="G1339" s="191">
        <v>0</v>
      </c>
      <c r="H1339" s="191">
        <v>0</v>
      </c>
      <c r="I1339" s="191">
        <v>0</v>
      </c>
      <c r="J1339" s="191">
        <v>0</v>
      </c>
      <c r="K1339" s="191">
        <v>0</v>
      </c>
      <c r="L1339" s="191">
        <v>0</v>
      </c>
      <c r="M1339" s="191">
        <v>0</v>
      </c>
      <c r="N1339" s="191">
        <v>0</v>
      </c>
      <c r="O1339" s="191">
        <v>0</v>
      </c>
      <c r="P1339" s="193">
        <v>1486.4</v>
      </c>
    </row>
    <row r="1340" spans="1:16" x14ac:dyDescent="0.25">
      <c r="A1340" s="190">
        <v>801010402</v>
      </c>
      <c r="B1340" s="190" t="s">
        <v>430</v>
      </c>
      <c r="C1340" s="190">
        <v>5231</v>
      </c>
      <c r="D1340" s="190" t="s">
        <v>408</v>
      </c>
      <c r="E1340" s="191">
        <v>0</v>
      </c>
      <c r="F1340" s="191">
        <v>0</v>
      </c>
      <c r="G1340" s="191">
        <v>0</v>
      </c>
      <c r="H1340" s="191">
        <v>0</v>
      </c>
      <c r="I1340" s="191">
        <v>0</v>
      </c>
      <c r="J1340" s="191">
        <v>0</v>
      </c>
      <c r="K1340" s="191">
        <v>0</v>
      </c>
      <c r="L1340" s="191">
        <v>0</v>
      </c>
      <c r="M1340" s="191">
        <v>0</v>
      </c>
      <c r="N1340" s="191">
        <v>0</v>
      </c>
      <c r="O1340" s="191">
        <v>0</v>
      </c>
      <c r="P1340" s="193">
        <v>1486.4</v>
      </c>
    </row>
    <row r="1341" spans="1:16" x14ac:dyDescent="0.25">
      <c r="A1341" s="190">
        <v>801010402</v>
      </c>
      <c r="B1341" s="190" t="s">
        <v>431</v>
      </c>
      <c r="C1341" s="190">
        <v>5231</v>
      </c>
      <c r="D1341" s="190" t="s">
        <v>408</v>
      </c>
      <c r="E1341" s="191">
        <v>0</v>
      </c>
      <c r="F1341" s="191">
        <v>0</v>
      </c>
      <c r="G1341" s="191">
        <v>0</v>
      </c>
      <c r="H1341" s="191">
        <v>0</v>
      </c>
      <c r="I1341" s="191">
        <v>0</v>
      </c>
      <c r="J1341" s="191">
        <v>0</v>
      </c>
      <c r="K1341" s="191">
        <v>0</v>
      </c>
      <c r="L1341" s="191">
        <v>0</v>
      </c>
      <c r="M1341" s="191">
        <v>0</v>
      </c>
      <c r="N1341" s="191">
        <v>0</v>
      </c>
      <c r="O1341" s="191">
        <v>0</v>
      </c>
      <c r="P1341" s="193">
        <v>1486.4</v>
      </c>
    </row>
    <row r="1342" spans="1:16" x14ac:dyDescent="0.25">
      <c r="A1342" s="190">
        <v>801010402</v>
      </c>
      <c r="B1342" s="190" t="s">
        <v>432</v>
      </c>
      <c r="C1342" s="190">
        <v>5231</v>
      </c>
      <c r="D1342" s="190" t="s">
        <v>408</v>
      </c>
      <c r="E1342" s="191">
        <v>0</v>
      </c>
      <c r="F1342" s="191">
        <v>0</v>
      </c>
      <c r="G1342" s="191">
        <v>0</v>
      </c>
      <c r="H1342" s="191">
        <v>0</v>
      </c>
      <c r="I1342" s="191">
        <v>0</v>
      </c>
      <c r="J1342" s="191">
        <v>0</v>
      </c>
      <c r="K1342" s="191">
        <v>0</v>
      </c>
      <c r="L1342" s="191">
        <v>0</v>
      </c>
      <c r="M1342" s="191">
        <v>0</v>
      </c>
      <c r="N1342" s="191">
        <v>0</v>
      </c>
      <c r="O1342" s="191">
        <v>0</v>
      </c>
      <c r="P1342" s="193">
        <v>1486.4</v>
      </c>
    </row>
    <row r="1343" spans="1:16" x14ac:dyDescent="0.25">
      <c r="A1343" s="190">
        <v>801010402</v>
      </c>
      <c r="B1343" s="190" t="s">
        <v>433</v>
      </c>
      <c r="C1343" s="190">
        <v>5231</v>
      </c>
      <c r="D1343" s="190" t="s">
        <v>408</v>
      </c>
      <c r="E1343" s="191">
        <v>0</v>
      </c>
      <c r="F1343" s="191">
        <v>0</v>
      </c>
      <c r="G1343" s="191">
        <v>0</v>
      </c>
      <c r="H1343" s="191">
        <v>0</v>
      </c>
      <c r="I1343" s="191">
        <v>0</v>
      </c>
      <c r="J1343" s="191">
        <v>0</v>
      </c>
      <c r="K1343" s="191">
        <v>0</v>
      </c>
      <c r="L1343" s="191">
        <v>0</v>
      </c>
      <c r="M1343" s="191">
        <v>0</v>
      </c>
      <c r="N1343" s="191">
        <v>0</v>
      </c>
      <c r="O1343" s="191">
        <v>0</v>
      </c>
      <c r="P1343" s="193">
        <v>1486.4</v>
      </c>
    </row>
    <row r="1344" spans="1:16" x14ac:dyDescent="0.25">
      <c r="A1344" s="190">
        <v>801010402</v>
      </c>
      <c r="B1344" s="190" t="s">
        <v>434</v>
      </c>
      <c r="C1344" s="190">
        <v>5231</v>
      </c>
      <c r="D1344" s="190" t="s">
        <v>408</v>
      </c>
      <c r="E1344" s="191">
        <v>0</v>
      </c>
      <c r="F1344" s="191">
        <v>0</v>
      </c>
      <c r="G1344" s="191">
        <v>0</v>
      </c>
      <c r="H1344" s="191">
        <v>0</v>
      </c>
      <c r="I1344" s="191">
        <v>0</v>
      </c>
      <c r="J1344" s="191">
        <v>0</v>
      </c>
      <c r="K1344" s="191">
        <v>0</v>
      </c>
      <c r="L1344" s="191">
        <v>0</v>
      </c>
      <c r="M1344" s="191">
        <v>0</v>
      </c>
      <c r="N1344" s="191">
        <v>0</v>
      </c>
      <c r="O1344" s="191">
        <v>0</v>
      </c>
      <c r="P1344" s="193">
        <v>1486.4</v>
      </c>
    </row>
    <row r="1345" spans="1:16" x14ac:dyDescent="0.25">
      <c r="A1345" s="190">
        <v>801010402</v>
      </c>
      <c r="B1345" s="190" t="s">
        <v>435</v>
      </c>
      <c r="C1345" s="190">
        <v>5231</v>
      </c>
      <c r="D1345" s="190" t="s">
        <v>408</v>
      </c>
      <c r="E1345" s="191">
        <v>0</v>
      </c>
      <c r="F1345" s="191">
        <v>0</v>
      </c>
      <c r="G1345" s="191">
        <v>0</v>
      </c>
      <c r="H1345" s="191">
        <v>0</v>
      </c>
      <c r="I1345" s="191">
        <v>0</v>
      </c>
      <c r="J1345" s="191">
        <v>0</v>
      </c>
      <c r="K1345" s="191">
        <v>0</v>
      </c>
      <c r="L1345" s="191">
        <v>0</v>
      </c>
      <c r="M1345" s="191">
        <v>0</v>
      </c>
      <c r="N1345" s="191">
        <v>0</v>
      </c>
      <c r="O1345" s="191">
        <v>0</v>
      </c>
      <c r="P1345" s="193">
        <v>1486.4</v>
      </c>
    </row>
    <row r="1346" spans="1:16" x14ac:dyDescent="0.25">
      <c r="A1346" s="190">
        <v>801010402</v>
      </c>
      <c r="B1346" s="190" t="s">
        <v>437</v>
      </c>
      <c r="C1346" s="190">
        <v>5231</v>
      </c>
      <c r="D1346" s="190" t="s">
        <v>408</v>
      </c>
      <c r="E1346" s="191">
        <v>0</v>
      </c>
      <c r="F1346" s="191">
        <v>0</v>
      </c>
      <c r="G1346" s="191">
        <v>0</v>
      </c>
      <c r="H1346" s="191">
        <v>0</v>
      </c>
      <c r="I1346" s="191">
        <v>0</v>
      </c>
      <c r="J1346" s="191">
        <v>0</v>
      </c>
      <c r="K1346" s="191">
        <v>0</v>
      </c>
      <c r="L1346" s="191">
        <v>0</v>
      </c>
      <c r="M1346" s="191">
        <v>0</v>
      </c>
      <c r="N1346" s="191">
        <v>0</v>
      </c>
      <c r="O1346" s="191">
        <v>0</v>
      </c>
      <c r="P1346" s="193">
        <v>1486.4</v>
      </c>
    </row>
    <row r="1347" spans="1:16" x14ac:dyDescent="0.25">
      <c r="A1347" s="190">
        <v>801010402</v>
      </c>
      <c r="B1347" s="190" t="s">
        <v>407</v>
      </c>
      <c r="C1347" s="190">
        <v>5311</v>
      </c>
      <c r="D1347" s="190" t="s">
        <v>408</v>
      </c>
      <c r="E1347" s="191">
        <v>0</v>
      </c>
      <c r="F1347" s="191">
        <v>0</v>
      </c>
      <c r="G1347" s="191">
        <v>0</v>
      </c>
      <c r="H1347" s="191">
        <v>0</v>
      </c>
      <c r="I1347" s="191">
        <v>0</v>
      </c>
      <c r="J1347" s="191">
        <v>0</v>
      </c>
      <c r="K1347" s="191">
        <v>0</v>
      </c>
      <c r="L1347" s="191">
        <v>0</v>
      </c>
      <c r="M1347" s="191">
        <v>0</v>
      </c>
      <c r="N1347" s="191">
        <v>0</v>
      </c>
      <c r="O1347" s="191">
        <v>0</v>
      </c>
      <c r="P1347" s="193">
        <v>134555.35999999999</v>
      </c>
    </row>
    <row r="1348" spans="1:16" x14ac:dyDescent="0.25">
      <c r="A1348" s="190">
        <v>801010402</v>
      </c>
      <c r="B1348" s="190" t="s">
        <v>411</v>
      </c>
      <c r="C1348" s="190">
        <v>5311</v>
      </c>
      <c r="D1348" s="190" t="s">
        <v>408</v>
      </c>
      <c r="E1348" s="191">
        <v>0</v>
      </c>
      <c r="F1348" s="191">
        <v>0</v>
      </c>
      <c r="G1348" s="191">
        <v>0</v>
      </c>
      <c r="H1348" s="191">
        <v>0</v>
      </c>
      <c r="I1348" s="191">
        <v>0</v>
      </c>
      <c r="J1348" s="191">
        <v>0</v>
      </c>
      <c r="K1348" s="191">
        <v>0</v>
      </c>
      <c r="L1348" s="191">
        <v>0</v>
      </c>
      <c r="M1348" s="191">
        <v>0</v>
      </c>
      <c r="N1348" s="191">
        <v>0</v>
      </c>
      <c r="O1348" s="191">
        <v>0</v>
      </c>
      <c r="P1348" s="193">
        <v>67277.679999999993</v>
      </c>
    </row>
    <row r="1349" spans="1:16" x14ac:dyDescent="0.25">
      <c r="A1349" s="190">
        <v>801010402</v>
      </c>
      <c r="B1349" s="190" t="s">
        <v>412</v>
      </c>
      <c r="C1349" s="190">
        <v>5311</v>
      </c>
      <c r="D1349" s="190" t="s">
        <v>408</v>
      </c>
      <c r="E1349" s="191">
        <v>0</v>
      </c>
      <c r="F1349" s="191">
        <v>0</v>
      </c>
      <c r="G1349" s="191">
        <v>0</v>
      </c>
      <c r="H1349" s="191">
        <v>0</v>
      </c>
      <c r="I1349" s="191">
        <v>0</v>
      </c>
      <c r="J1349" s="191">
        <v>0</v>
      </c>
      <c r="K1349" s="191">
        <v>0</v>
      </c>
      <c r="L1349" s="191">
        <v>0</v>
      </c>
      <c r="M1349" s="191">
        <v>0</v>
      </c>
      <c r="N1349" s="191">
        <v>0</v>
      </c>
      <c r="O1349" s="191">
        <v>0</v>
      </c>
      <c r="P1349" s="193">
        <v>67277.679999999993</v>
      </c>
    </row>
    <row r="1350" spans="1:16" x14ac:dyDescent="0.25">
      <c r="A1350" s="190">
        <v>801010402</v>
      </c>
      <c r="B1350" s="190" t="s">
        <v>414</v>
      </c>
      <c r="C1350" s="190">
        <v>5311</v>
      </c>
      <c r="D1350" s="190" t="s">
        <v>408</v>
      </c>
      <c r="E1350" s="191">
        <v>0</v>
      </c>
      <c r="F1350" s="191">
        <v>0</v>
      </c>
      <c r="G1350" s="191">
        <v>0</v>
      </c>
      <c r="H1350" s="191">
        <v>0</v>
      </c>
      <c r="I1350" s="191">
        <v>0</v>
      </c>
      <c r="J1350" s="191">
        <v>0</v>
      </c>
      <c r="K1350" s="191">
        <v>0</v>
      </c>
      <c r="L1350" s="191">
        <v>0</v>
      </c>
      <c r="M1350" s="191">
        <v>0</v>
      </c>
      <c r="N1350" s="191">
        <v>0</v>
      </c>
      <c r="O1350" s="191">
        <v>0</v>
      </c>
      <c r="P1350" s="193">
        <v>67277.679999999993</v>
      </c>
    </row>
    <row r="1351" spans="1:16" x14ac:dyDescent="0.25">
      <c r="A1351" s="190">
        <v>801010402</v>
      </c>
      <c r="B1351" s="190" t="s">
        <v>421</v>
      </c>
      <c r="C1351" s="190">
        <v>5311</v>
      </c>
      <c r="D1351" s="190" t="s">
        <v>408</v>
      </c>
      <c r="E1351" s="191">
        <v>0</v>
      </c>
      <c r="F1351" s="191">
        <v>0</v>
      </c>
      <c r="G1351" s="191">
        <v>0</v>
      </c>
      <c r="H1351" s="193">
        <v>24022.44</v>
      </c>
      <c r="I1351" s="191">
        <v>0</v>
      </c>
      <c r="J1351" s="191">
        <v>0</v>
      </c>
      <c r="K1351" s="191">
        <v>0</v>
      </c>
      <c r="L1351" s="191">
        <v>0</v>
      </c>
      <c r="M1351" s="191">
        <v>0</v>
      </c>
      <c r="N1351" s="191">
        <v>0</v>
      </c>
      <c r="O1351" s="191">
        <v>0</v>
      </c>
      <c r="P1351" s="191">
        <v>0</v>
      </c>
    </row>
    <row r="1352" spans="1:16" x14ac:dyDescent="0.25">
      <c r="A1352" s="190">
        <v>801010402</v>
      </c>
      <c r="B1352" s="190" t="s">
        <v>422</v>
      </c>
      <c r="C1352" s="190">
        <v>5311</v>
      </c>
      <c r="D1352" s="190" t="s">
        <v>408</v>
      </c>
      <c r="E1352" s="191">
        <v>0</v>
      </c>
      <c r="F1352" s="191">
        <v>0</v>
      </c>
      <c r="G1352" s="191">
        <v>0</v>
      </c>
      <c r="H1352" s="191">
        <v>0</v>
      </c>
      <c r="I1352" s="191">
        <v>0</v>
      </c>
      <c r="J1352" s="191">
        <v>0</v>
      </c>
      <c r="K1352" s="191">
        <v>0</v>
      </c>
      <c r="L1352" s="191">
        <v>0</v>
      </c>
      <c r="M1352" s="191">
        <v>0</v>
      </c>
      <c r="N1352" s="191">
        <v>0</v>
      </c>
      <c r="O1352" s="191">
        <v>0</v>
      </c>
      <c r="P1352" s="193">
        <v>67277.679999999993</v>
      </c>
    </row>
    <row r="1353" spans="1:16" x14ac:dyDescent="0.25">
      <c r="A1353" s="190">
        <v>801010402</v>
      </c>
      <c r="B1353" s="190" t="s">
        <v>430</v>
      </c>
      <c r="C1353" s="190">
        <v>5311</v>
      </c>
      <c r="D1353" s="190" t="s">
        <v>408</v>
      </c>
      <c r="E1353" s="191">
        <v>0</v>
      </c>
      <c r="F1353" s="191">
        <v>0</v>
      </c>
      <c r="G1353" s="191">
        <v>0</v>
      </c>
      <c r="H1353" s="191">
        <v>0</v>
      </c>
      <c r="I1353" s="191">
        <v>0</v>
      </c>
      <c r="J1353" s="191">
        <v>0</v>
      </c>
      <c r="K1353" s="191">
        <v>0</v>
      </c>
      <c r="L1353" s="191">
        <v>0</v>
      </c>
      <c r="M1353" s="191">
        <v>0</v>
      </c>
      <c r="N1353" s="191">
        <v>0</v>
      </c>
      <c r="O1353" s="191">
        <v>0</v>
      </c>
      <c r="P1353" s="193">
        <v>67277.679999999993</v>
      </c>
    </row>
    <row r="1354" spans="1:16" x14ac:dyDescent="0.25">
      <c r="A1354" s="190">
        <v>801010402</v>
      </c>
      <c r="B1354" s="190" t="s">
        <v>431</v>
      </c>
      <c r="C1354" s="190">
        <v>5311</v>
      </c>
      <c r="D1354" s="190" t="s">
        <v>408</v>
      </c>
      <c r="E1354" s="191">
        <v>0</v>
      </c>
      <c r="F1354" s="191">
        <v>0</v>
      </c>
      <c r="G1354" s="191">
        <v>0</v>
      </c>
      <c r="H1354" s="191">
        <v>0</v>
      </c>
      <c r="I1354" s="191">
        <v>0</v>
      </c>
      <c r="J1354" s="191">
        <v>0</v>
      </c>
      <c r="K1354" s="191">
        <v>0</v>
      </c>
      <c r="L1354" s="191">
        <v>0</v>
      </c>
      <c r="M1354" s="191">
        <v>0</v>
      </c>
      <c r="N1354" s="191">
        <v>0</v>
      </c>
      <c r="O1354" s="191">
        <v>0</v>
      </c>
      <c r="P1354" s="193">
        <v>67277.679999999993</v>
      </c>
    </row>
    <row r="1355" spans="1:16" x14ac:dyDescent="0.25">
      <c r="A1355" s="190">
        <v>801010402</v>
      </c>
      <c r="B1355" s="190" t="s">
        <v>407</v>
      </c>
      <c r="C1355" s="190">
        <v>5321</v>
      </c>
      <c r="D1355" s="190" t="s">
        <v>408</v>
      </c>
      <c r="E1355" s="191">
        <v>0</v>
      </c>
      <c r="F1355" s="191">
        <v>0</v>
      </c>
      <c r="G1355" s="191">
        <v>0</v>
      </c>
      <c r="H1355" s="191">
        <v>0</v>
      </c>
      <c r="I1355" s="191">
        <v>0</v>
      </c>
      <c r="J1355" s="191">
        <v>0</v>
      </c>
      <c r="K1355" s="191">
        <v>0</v>
      </c>
      <c r="L1355" s="191">
        <v>0</v>
      </c>
      <c r="M1355" s="191">
        <v>0</v>
      </c>
      <c r="N1355" s="191">
        <v>0</v>
      </c>
      <c r="O1355" s="191">
        <v>0</v>
      </c>
      <c r="P1355" s="193">
        <v>7651.36</v>
      </c>
    </row>
    <row r="1356" spans="1:16" x14ac:dyDescent="0.25">
      <c r="A1356" s="190">
        <v>801010402</v>
      </c>
      <c r="B1356" s="190" t="s">
        <v>411</v>
      </c>
      <c r="C1356" s="190">
        <v>5321</v>
      </c>
      <c r="D1356" s="190" t="s">
        <v>408</v>
      </c>
      <c r="E1356" s="191">
        <v>0</v>
      </c>
      <c r="F1356" s="191">
        <v>0</v>
      </c>
      <c r="G1356" s="191">
        <v>0</v>
      </c>
      <c r="H1356" s="191">
        <v>0</v>
      </c>
      <c r="I1356" s="191">
        <v>0</v>
      </c>
      <c r="J1356" s="191">
        <v>0</v>
      </c>
      <c r="K1356" s="191">
        <v>0</v>
      </c>
      <c r="L1356" s="191">
        <v>0</v>
      </c>
      <c r="M1356" s="191">
        <v>0</v>
      </c>
      <c r="N1356" s="191">
        <v>0</v>
      </c>
      <c r="O1356" s="191">
        <v>0</v>
      </c>
      <c r="P1356" s="193">
        <v>3825.68</v>
      </c>
    </row>
    <row r="1357" spans="1:16" x14ac:dyDescent="0.25">
      <c r="A1357" s="190">
        <v>801010402</v>
      </c>
      <c r="B1357" s="190" t="s">
        <v>412</v>
      </c>
      <c r="C1357" s="190">
        <v>5321</v>
      </c>
      <c r="D1357" s="190" t="s">
        <v>408</v>
      </c>
      <c r="E1357" s="191">
        <v>0</v>
      </c>
      <c r="F1357" s="191">
        <v>0</v>
      </c>
      <c r="G1357" s="191">
        <v>0</v>
      </c>
      <c r="H1357" s="191">
        <v>0</v>
      </c>
      <c r="I1357" s="191">
        <v>0</v>
      </c>
      <c r="J1357" s="191">
        <v>0</v>
      </c>
      <c r="K1357" s="191">
        <v>0</v>
      </c>
      <c r="L1357" s="191">
        <v>0</v>
      </c>
      <c r="M1357" s="191">
        <v>0</v>
      </c>
      <c r="N1357" s="191">
        <v>0</v>
      </c>
      <c r="O1357" s="191">
        <v>0</v>
      </c>
      <c r="P1357" s="193">
        <v>3825.68</v>
      </c>
    </row>
    <row r="1358" spans="1:16" x14ac:dyDescent="0.25">
      <c r="A1358" s="190">
        <v>801010402</v>
      </c>
      <c r="B1358" s="190" t="s">
        <v>414</v>
      </c>
      <c r="C1358" s="190">
        <v>5321</v>
      </c>
      <c r="D1358" s="190" t="s">
        <v>408</v>
      </c>
      <c r="E1358" s="191">
        <v>0</v>
      </c>
      <c r="F1358" s="191">
        <v>0</v>
      </c>
      <c r="G1358" s="191">
        <v>0</v>
      </c>
      <c r="H1358" s="191">
        <v>0</v>
      </c>
      <c r="I1358" s="191">
        <v>0</v>
      </c>
      <c r="J1358" s="191">
        <v>0</v>
      </c>
      <c r="K1358" s="191">
        <v>0</v>
      </c>
      <c r="L1358" s="191">
        <v>0</v>
      </c>
      <c r="M1358" s="191">
        <v>0</v>
      </c>
      <c r="N1358" s="191">
        <v>0</v>
      </c>
      <c r="O1358" s="191">
        <v>0</v>
      </c>
      <c r="P1358" s="193">
        <v>3825.68</v>
      </c>
    </row>
    <row r="1359" spans="1:16" x14ac:dyDescent="0.25">
      <c r="A1359" s="190">
        <v>801010402</v>
      </c>
      <c r="B1359" s="190" t="s">
        <v>422</v>
      </c>
      <c r="C1359" s="190">
        <v>5321</v>
      </c>
      <c r="D1359" s="190" t="s">
        <v>408</v>
      </c>
      <c r="E1359" s="191">
        <v>0</v>
      </c>
      <c r="F1359" s="191">
        <v>0</v>
      </c>
      <c r="G1359" s="191">
        <v>0</v>
      </c>
      <c r="H1359" s="191">
        <v>0</v>
      </c>
      <c r="I1359" s="191">
        <v>0</v>
      </c>
      <c r="J1359" s="191">
        <v>0</v>
      </c>
      <c r="K1359" s="191">
        <v>0</v>
      </c>
      <c r="L1359" s="191">
        <v>0</v>
      </c>
      <c r="M1359" s="191">
        <v>0</v>
      </c>
      <c r="N1359" s="191">
        <v>0</v>
      </c>
      <c r="O1359" s="191">
        <v>0</v>
      </c>
      <c r="P1359" s="193">
        <v>3825.68</v>
      </c>
    </row>
    <row r="1360" spans="1:16" x14ac:dyDescent="0.25">
      <c r="A1360" s="190">
        <v>801010402</v>
      </c>
      <c r="B1360" s="190" t="s">
        <v>430</v>
      </c>
      <c r="C1360" s="190">
        <v>5321</v>
      </c>
      <c r="D1360" s="190" t="s">
        <v>408</v>
      </c>
      <c r="E1360" s="191">
        <v>0</v>
      </c>
      <c r="F1360" s="191">
        <v>0</v>
      </c>
      <c r="G1360" s="191">
        <v>0</v>
      </c>
      <c r="H1360" s="191">
        <v>0</v>
      </c>
      <c r="I1360" s="191">
        <v>0</v>
      </c>
      <c r="J1360" s="191">
        <v>0</v>
      </c>
      <c r="K1360" s="191">
        <v>0</v>
      </c>
      <c r="L1360" s="191">
        <v>0</v>
      </c>
      <c r="M1360" s="191">
        <v>0</v>
      </c>
      <c r="N1360" s="191">
        <v>0</v>
      </c>
      <c r="O1360" s="191">
        <v>0</v>
      </c>
      <c r="P1360" s="193">
        <v>3825.68</v>
      </c>
    </row>
    <row r="1361" spans="1:16" x14ac:dyDescent="0.25">
      <c r="A1361" s="190">
        <v>801010402</v>
      </c>
      <c r="B1361" s="190" t="s">
        <v>431</v>
      </c>
      <c r="C1361" s="190">
        <v>5321</v>
      </c>
      <c r="D1361" s="190" t="s">
        <v>408</v>
      </c>
      <c r="E1361" s="191">
        <v>0</v>
      </c>
      <c r="F1361" s="191">
        <v>0</v>
      </c>
      <c r="G1361" s="191">
        <v>0</v>
      </c>
      <c r="H1361" s="191">
        <v>0</v>
      </c>
      <c r="I1361" s="191">
        <v>0</v>
      </c>
      <c r="J1361" s="191">
        <v>0</v>
      </c>
      <c r="K1361" s="191">
        <v>0</v>
      </c>
      <c r="L1361" s="191">
        <v>0</v>
      </c>
      <c r="M1361" s="191">
        <v>0</v>
      </c>
      <c r="N1361" s="191">
        <v>0</v>
      </c>
      <c r="O1361" s="191">
        <v>0</v>
      </c>
      <c r="P1361" s="193">
        <v>3825.68</v>
      </c>
    </row>
    <row r="1362" spans="1:16" x14ac:dyDescent="0.25">
      <c r="A1362" s="190">
        <v>801010402</v>
      </c>
      <c r="B1362" s="190" t="s">
        <v>434</v>
      </c>
      <c r="C1362" s="190">
        <v>5321</v>
      </c>
      <c r="D1362" s="190" t="s">
        <v>408</v>
      </c>
      <c r="E1362" s="191">
        <v>0</v>
      </c>
      <c r="F1362" s="191">
        <v>0</v>
      </c>
      <c r="G1362" s="191">
        <v>0</v>
      </c>
      <c r="H1362" s="191">
        <v>0</v>
      </c>
      <c r="I1362" s="191">
        <v>0</v>
      </c>
      <c r="J1362" s="191">
        <v>0</v>
      </c>
      <c r="K1362" s="191">
        <v>0</v>
      </c>
      <c r="L1362" s="191">
        <v>0</v>
      </c>
      <c r="M1362" s="191">
        <v>0</v>
      </c>
      <c r="N1362" s="191">
        <v>0</v>
      </c>
      <c r="O1362" s="193">
        <v>13664.8</v>
      </c>
      <c r="P1362" s="191">
        <v>0</v>
      </c>
    </row>
    <row r="1363" spans="1:16" x14ac:dyDescent="0.25">
      <c r="A1363" s="190">
        <v>801010402</v>
      </c>
      <c r="B1363" s="190" t="s">
        <v>407</v>
      </c>
      <c r="C1363" s="190">
        <v>5411</v>
      </c>
      <c r="D1363" s="190" t="s">
        <v>408</v>
      </c>
      <c r="E1363" s="191">
        <v>0</v>
      </c>
      <c r="F1363" s="191">
        <v>0</v>
      </c>
      <c r="G1363" s="191">
        <v>0</v>
      </c>
      <c r="H1363" s="191">
        <v>0</v>
      </c>
      <c r="I1363" s="191">
        <v>0</v>
      </c>
      <c r="J1363" s="191">
        <v>0</v>
      </c>
      <c r="K1363" s="191">
        <v>0</v>
      </c>
      <c r="L1363" s="193">
        <v>671370</v>
      </c>
      <c r="M1363" s="191">
        <v>0</v>
      </c>
      <c r="N1363" s="191">
        <v>0</v>
      </c>
      <c r="O1363" s="191">
        <v>0</v>
      </c>
      <c r="P1363" s="191">
        <v>0</v>
      </c>
    </row>
    <row r="1364" spans="1:16" x14ac:dyDescent="0.25">
      <c r="A1364" s="190">
        <v>801010402</v>
      </c>
      <c r="B1364" s="190" t="s">
        <v>407</v>
      </c>
      <c r="C1364" s="190">
        <v>5421</v>
      </c>
      <c r="D1364" s="190" t="s">
        <v>408</v>
      </c>
      <c r="E1364" s="191">
        <v>0</v>
      </c>
      <c r="F1364" s="191">
        <v>0</v>
      </c>
      <c r="G1364" s="191">
        <v>0</v>
      </c>
      <c r="H1364" s="191">
        <v>0</v>
      </c>
      <c r="I1364" s="191">
        <v>0</v>
      </c>
      <c r="J1364" s="191">
        <v>0</v>
      </c>
      <c r="K1364" s="191">
        <v>0</v>
      </c>
      <c r="L1364" s="191">
        <v>0</v>
      </c>
      <c r="M1364" s="191">
        <v>0</v>
      </c>
      <c r="N1364" s="191">
        <v>0</v>
      </c>
      <c r="O1364" s="193">
        <v>26100</v>
      </c>
      <c r="P1364" s="191">
        <v>0</v>
      </c>
    </row>
    <row r="1365" spans="1:16" x14ac:dyDescent="0.25">
      <c r="A1365" s="190">
        <v>801010402</v>
      </c>
      <c r="B1365" s="190" t="s">
        <v>431</v>
      </c>
      <c r="C1365" s="190">
        <v>5611</v>
      </c>
      <c r="D1365" s="190" t="s">
        <v>408</v>
      </c>
      <c r="E1365" s="191">
        <v>0</v>
      </c>
      <c r="F1365" s="191">
        <v>0</v>
      </c>
      <c r="G1365" s="191">
        <v>0</v>
      </c>
      <c r="H1365" s="191">
        <v>0</v>
      </c>
      <c r="I1365" s="191">
        <v>0</v>
      </c>
      <c r="J1365" s="191">
        <v>0</v>
      </c>
      <c r="K1365" s="191">
        <v>0</v>
      </c>
      <c r="L1365" s="193">
        <v>34533.14</v>
      </c>
      <c r="M1365" s="191">
        <v>0</v>
      </c>
      <c r="N1365" s="191">
        <v>0</v>
      </c>
      <c r="O1365" s="191">
        <v>0</v>
      </c>
      <c r="P1365" s="191">
        <v>0</v>
      </c>
    </row>
    <row r="1366" spans="1:16" x14ac:dyDescent="0.25">
      <c r="A1366" s="190">
        <v>801010402</v>
      </c>
      <c r="B1366" s="190" t="s">
        <v>407</v>
      </c>
      <c r="C1366" s="190">
        <v>5621</v>
      </c>
      <c r="D1366" s="190" t="s">
        <v>408</v>
      </c>
      <c r="E1366" s="191">
        <v>0</v>
      </c>
      <c r="F1366" s="191">
        <v>0</v>
      </c>
      <c r="G1366" s="191">
        <v>0</v>
      </c>
      <c r="H1366" s="191">
        <v>0</v>
      </c>
      <c r="I1366" s="191">
        <v>0</v>
      </c>
      <c r="J1366" s="191">
        <v>0</v>
      </c>
      <c r="K1366" s="191">
        <v>0</v>
      </c>
      <c r="L1366" s="191">
        <v>0</v>
      </c>
      <c r="M1366" s="191">
        <v>0</v>
      </c>
      <c r="N1366" s="191">
        <v>0</v>
      </c>
      <c r="O1366" s="193">
        <v>1701.48</v>
      </c>
      <c r="P1366" s="191">
        <v>0</v>
      </c>
    </row>
    <row r="1367" spans="1:16" x14ac:dyDescent="0.25">
      <c r="A1367" s="190">
        <v>801010402</v>
      </c>
      <c r="B1367" s="190" t="s">
        <v>413</v>
      </c>
      <c r="C1367" s="190">
        <v>5621</v>
      </c>
      <c r="D1367" s="190" t="s">
        <v>408</v>
      </c>
      <c r="E1367" s="191">
        <v>0</v>
      </c>
      <c r="F1367" s="191">
        <v>0</v>
      </c>
      <c r="G1367" s="191">
        <v>0</v>
      </c>
      <c r="H1367" s="191">
        <v>0</v>
      </c>
      <c r="I1367" s="191">
        <v>0</v>
      </c>
      <c r="J1367" s="191">
        <v>0</v>
      </c>
      <c r="K1367" s="191">
        <v>0</v>
      </c>
      <c r="L1367" s="193">
        <v>10649.97</v>
      </c>
      <c r="M1367" s="191">
        <v>0</v>
      </c>
      <c r="N1367" s="191">
        <v>0</v>
      </c>
      <c r="O1367" s="191">
        <v>0</v>
      </c>
      <c r="P1367" s="191">
        <v>0</v>
      </c>
    </row>
    <row r="1368" spans="1:16" x14ac:dyDescent="0.25">
      <c r="A1368" s="190">
        <v>801010402</v>
      </c>
      <c r="B1368" s="190" t="s">
        <v>430</v>
      </c>
      <c r="C1368" s="190">
        <v>5621</v>
      </c>
      <c r="D1368" s="190" t="s">
        <v>408</v>
      </c>
      <c r="E1368" s="191">
        <v>0</v>
      </c>
      <c r="F1368" s="191">
        <v>0</v>
      </c>
      <c r="G1368" s="191">
        <v>0</v>
      </c>
      <c r="H1368" s="191">
        <v>0</v>
      </c>
      <c r="I1368" s="191">
        <v>0</v>
      </c>
      <c r="J1368" s="191">
        <v>0</v>
      </c>
      <c r="K1368" s="191">
        <v>0</v>
      </c>
      <c r="L1368" s="193">
        <v>1980</v>
      </c>
      <c r="M1368" s="191">
        <v>0</v>
      </c>
      <c r="N1368" s="191">
        <v>0</v>
      </c>
      <c r="O1368" s="191">
        <v>0</v>
      </c>
      <c r="P1368" s="191">
        <v>0</v>
      </c>
    </row>
    <row r="1369" spans="1:16" x14ac:dyDescent="0.25">
      <c r="A1369" s="190">
        <v>801010402</v>
      </c>
      <c r="B1369" s="190" t="s">
        <v>429</v>
      </c>
      <c r="C1369" s="190">
        <v>5641</v>
      </c>
      <c r="D1369" s="190" t="s">
        <v>408</v>
      </c>
      <c r="E1369" s="191">
        <v>0</v>
      </c>
      <c r="F1369" s="191">
        <v>0</v>
      </c>
      <c r="G1369" s="191">
        <v>0</v>
      </c>
      <c r="H1369" s="191">
        <v>0</v>
      </c>
      <c r="I1369" s="191">
        <v>0</v>
      </c>
      <c r="J1369" s="191">
        <v>0</v>
      </c>
      <c r="K1369" s="191">
        <v>0</v>
      </c>
      <c r="L1369" s="193">
        <v>9751.6</v>
      </c>
      <c r="M1369" s="191">
        <v>0</v>
      </c>
      <c r="N1369" s="191">
        <v>0</v>
      </c>
      <c r="O1369" s="191">
        <v>0</v>
      </c>
      <c r="P1369" s="191">
        <v>0</v>
      </c>
    </row>
    <row r="1370" spans="1:16" x14ac:dyDescent="0.25">
      <c r="A1370" s="190">
        <v>801010402</v>
      </c>
      <c r="B1370" s="190" t="s">
        <v>407</v>
      </c>
      <c r="C1370" s="190">
        <v>5651</v>
      </c>
      <c r="D1370" s="190" t="s">
        <v>408</v>
      </c>
      <c r="E1370" s="191">
        <v>0</v>
      </c>
      <c r="F1370" s="191">
        <v>0</v>
      </c>
      <c r="G1370" s="191">
        <v>0</v>
      </c>
      <c r="H1370" s="191">
        <v>0</v>
      </c>
      <c r="I1370" s="191">
        <v>0</v>
      </c>
      <c r="J1370" s="191">
        <v>0</v>
      </c>
      <c r="K1370" s="191">
        <v>0</v>
      </c>
      <c r="L1370" s="193">
        <v>1429940.12</v>
      </c>
      <c r="M1370" s="191">
        <v>0</v>
      </c>
      <c r="N1370" s="191">
        <v>0</v>
      </c>
      <c r="O1370" s="191">
        <v>0</v>
      </c>
      <c r="P1370" s="191">
        <v>0</v>
      </c>
    </row>
    <row r="1371" spans="1:16" x14ac:dyDescent="0.25">
      <c r="A1371" s="190">
        <v>801010402</v>
      </c>
      <c r="B1371" s="190" t="s">
        <v>407</v>
      </c>
      <c r="C1371" s="190">
        <v>5661</v>
      </c>
      <c r="D1371" s="190" t="s">
        <v>408</v>
      </c>
      <c r="E1371" s="191">
        <v>0</v>
      </c>
      <c r="F1371" s="191">
        <v>0</v>
      </c>
      <c r="G1371" s="191">
        <v>0</v>
      </c>
      <c r="H1371" s="191">
        <v>0</v>
      </c>
      <c r="I1371" s="191">
        <v>0</v>
      </c>
      <c r="J1371" s="191">
        <v>0</v>
      </c>
      <c r="K1371" s="191">
        <v>0</v>
      </c>
      <c r="L1371" s="193">
        <v>15013.88</v>
      </c>
      <c r="M1371" s="191">
        <v>0</v>
      </c>
      <c r="N1371" s="191">
        <v>0</v>
      </c>
      <c r="O1371" s="191">
        <v>0</v>
      </c>
      <c r="P1371" s="191">
        <v>0</v>
      </c>
    </row>
    <row r="1372" spans="1:16" x14ac:dyDescent="0.25">
      <c r="A1372" s="190">
        <v>801010402</v>
      </c>
      <c r="B1372" s="190" t="s">
        <v>407</v>
      </c>
      <c r="C1372" s="190">
        <v>5671</v>
      </c>
      <c r="D1372" s="190" t="s">
        <v>408</v>
      </c>
      <c r="E1372" s="191">
        <v>0</v>
      </c>
      <c r="F1372" s="191">
        <v>0</v>
      </c>
      <c r="G1372" s="191">
        <v>0</v>
      </c>
      <c r="H1372" s="191">
        <v>0</v>
      </c>
      <c r="I1372" s="191">
        <v>0</v>
      </c>
      <c r="J1372" s="191">
        <v>0</v>
      </c>
      <c r="K1372" s="191">
        <v>0</v>
      </c>
      <c r="L1372" s="193">
        <v>17799.509999999998</v>
      </c>
      <c r="M1372" s="191">
        <v>0</v>
      </c>
      <c r="N1372" s="191">
        <v>0</v>
      </c>
      <c r="O1372" s="191">
        <v>0</v>
      </c>
      <c r="P1372" s="191">
        <v>0</v>
      </c>
    </row>
    <row r="1373" spans="1:16" x14ac:dyDescent="0.25">
      <c r="A1373" s="190">
        <v>801010402</v>
      </c>
      <c r="B1373" s="190" t="s">
        <v>431</v>
      </c>
      <c r="C1373" s="190">
        <v>5671</v>
      </c>
      <c r="D1373" s="190" t="s">
        <v>408</v>
      </c>
      <c r="E1373" s="191">
        <v>0</v>
      </c>
      <c r="F1373" s="191">
        <v>0</v>
      </c>
      <c r="G1373" s="191">
        <v>0</v>
      </c>
      <c r="H1373" s="191">
        <v>0</v>
      </c>
      <c r="I1373" s="191">
        <v>0</v>
      </c>
      <c r="J1373" s="191">
        <v>0</v>
      </c>
      <c r="K1373" s="191">
        <v>0</v>
      </c>
      <c r="L1373" s="193">
        <v>5259.99</v>
      </c>
      <c r="M1373" s="191">
        <v>0</v>
      </c>
      <c r="N1373" s="191">
        <v>0</v>
      </c>
      <c r="O1373" s="191">
        <v>0</v>
      </c>
      <c r="P1373" s="191">
        <v>0</v>
      </c>
    </row>
    <row r="1374" spans="1:16" x14ac:dyDescent="0.25">
      <c r="A1374" s="190">
        <v>801010402</v>
      </c>
      <c r="B1374" s="190" t="s">
        <v>434</v>
      </c>
      <c r="C1374" s="190">
        <v>5671</v>
      </c>
      <c r="D1374" s="190" t="s">
        <v>408</v>
      </c>
      <c r="E1374" s="191">
        <v>0</v>
      </c>
      <c r="F1374" s="191">
        <v>0</v>
      </c>
      <c r="G1374" s="191">
        <v>0</v>
      </c>
      <c r="H1374" s="191">
        <v>0</v>
      </c>
      <c r="I1374" s="191">
        <v>0</v>
      </c>
      <c r="J1374" s="191">
        <v>0</v>
      </c>
      <c r="K1374" s="191">
        <v>0</v>
      </c>
      <c r="L1374" s="191">
        <v>0</v>
      </c>
      <c r="M1374" s="191">
        <v>0</v>
      </c>
      <c r="N1374" s="191">
        <v>0</v>
      </c>
      <c r="O1374" s="191">
        <v>0</v>
      </c>
      <c r="P1374" s="193">
        <v>10416.799999999999</v>
      </c>
    </row>
    <row r="1375" spans="1:16" x14ac:dyDescent="0.25">
      <c r="A1375" s="190">
        <v>801010402</v>
      </c>
      <c r="B1375" s="190" t="s">
        <v>407</v>
      </c>
      <c r="C1375" s="190">
        <v>5691</v>
      </c>
      <c r="D1375" s="190" t="s">
        <v>408</v>
      </c>
      <c r="E1375" s="191">
        <v>0</v>
      </c>
      <c r="F1375" s="191">
        <v>0</v>
      </c>
      <c r="G1375" s="191">
        <v>0</v>
      </c>
      <c r="H1375" s="191">
        <v>0</v>
      </c>
      <c r="I1375" s="191">
        <v>0</v>
      </c>
      <c r="J1375" s="191">
        <v>0</v>
      </c>
      <c r="K1375" s="191">
        <v>0</v>
      </c>
      <c r="L1375" s="193">
        <v>4762.3900000000003</v>
      </c>
      <c r="M1375" s="191">
        <v>0</v>
      </c>
      <c r="N1375" s="191">
        <v>0</v>
      </c>
      <c r="O1375" s="191">
        <v>0</v>
      </c>
      <c r="P1375" s="191">
        <v>0</v>
      </c>
    </row>
    <row r="1376" spans="1:16" x14ac:dyDescent="0.25">
      <c r="A1376" s="190">
        <v>801010402</v>
      </c>
      <c r="B1376" s="190" t="s">
        <v>407</v>
      </c>
      <c r="C1376" s="190">
        <v>5692</v>
      </c>
      <c r="D1376" s="190" t="s">
        <v>408</v>
      </c>
      <c r="E1376" s="191">
        <v>0</v>
      </c>
      <c r="F1376" s="191">
        <v>0</v>
      </c>
      <c r="G1376" s="191">
        <v>0</v>
      </c>
      <c r="H1376" s="191">
        <v>0</v>
      </c>
      <c r="I1376" s="191">
        <v>0</v>
      </c>
      <c r="J1376" s="191">
        <v>0</v>
      </c>
      <c r="K1376" s="191">
        <v>0</v>
      </c>
      <c r="L1376" s="193">
        <v>330876.45</v>
      </c>
      <c r="M1376" s="191">
        <v>0</v>
      </c>
      <c r="N1376" s="191">
        <v>0</v>
      </c>
      <c r="O1376" s="191">
        <v>0</v>
      </c>
      <c r="P1376" s="191">
        <v>0</v>
      </c>
    </row>
    <row r="1377" spans="1:16" x14ac:dyDescent="0.25">
      <c r="A1377" s="190">
        <v>801010402</v>
      </c>
      <c r="B1377" s="190" t="s">
        <v>434</v>
      </c>
      <c r="C1377" s="190">
        <v>5911</v>
      </c>
      <c r="D1377" s="190" t="s">
        <v>408</v>
      </c>
      <c r="E1377" s="191">
        <v>0</v>
      </c>
      <c r="F1377" s="191">
        <v>0</v>
      </c>
      <c r="G1377" s="191">
        <v>0</v>
      </c>
      <c r="H1377" s="191">
        <v>0</v>
      </c>
      <c r="I1377" s="191">
        <v>0</v>
      </c>
      <c r="J1377" s="191">
        <v>0</v>
      </c>
      <c r="K1377" s="191">
        <v>0</v>
      </c>
      <c r="L1377" s="191">
        <v>0</v>
      </c>
      <c r="M1377" s="191">
        <v>0</v>
      </c>
      <c r="N1377" s="191">
        <v>0</v>
      </c>
      <c r="O1377" s="191">
        <v>0</v>
      </c>
      <c r="P1377" s="193">
        <v>199468.97</v>
      </c>
    </row>
    <row r="1378" spans="1:16" x14ac:dyDescent="0.25">
      <c r="A1378" s="190">
        <v>801010702</v>
      </c>
      <c r="B1378" s="190" t="s">
        <v>407</v>
      </c>
      <c r="C1378" s="190">
        <v>6122</v>
      </c>
      <c r="D1378" s="190" t="s">
        <v>408</v>
      </c>
      <c r="E1378" s="191">
        <v>0</v>
      </c>
      <c r="F1378" s="191">
        <v>0</v>
      </c>
      <c r="G1378" s="191">
        <v>0</v>
      </c>
      <c r="H1378" s="191">
        <v>0</v>
      </c>
      <c r="I1378" s="191">
        <v>0</v>
      </c>
      <c r="J1378" s="191">
        <v>0</v>
      </c>
      <c r="K1378" s="191">
        <v>0</v>
      </c>
      <c r="L1378" s="191">
        <v>0</v>
      </c>
      <c r="M1378" s="191">
        <v>0</v>
      </c>
      <c r="N1378" s="191">
        <v>0</v>
      </c>
      <c r="O1378" s="193">
        <v>24752909.68</v>
      </c>
      <c r="P1378" s="191">
        <v>0</v>
      </c>
    </row>
    <row r="1379" spans="1:16" x14ac:dyDescent="0.25">
      <c r="A1379" s="190">
        <v>801010702</v>
      </c>
      <c r="B1379" s="190" t="s">
        <v>423</v>
      </c>
      <c r="C1379" s="190">
        <v>6122</v>
      </c>
      <c r="D1379" s="190" t="s">
        <v>408</v>
      </c>
      <c r="E1379" s="191">
        <v>0</v>
      </c>
      <c r="F1379" s="191">
        <v>0</v>
      </c>
      <c r="G1379" s="191">
        <v>0</v>
      </c>
      <c r="H1379" s="191">
        <v>0</v>
      </c>
      <c r="I1379" s="191">
        <v>0</v>
      </c>
      <c r="J1379" s="191">
        <v>0</v>
      </c>
      <c r="K1379" s="191">
        <v>0</v>
      </c>
      <c r="L1379" s="191">
        <v>0</v>
      </c>
      <c r="M1379" s="191">
        <v>0</v>
      </c>
      <c r="N1379" s="191">
        <v>0</v>
      </c>
      <c r="O1379" s="193">
        <v>3500000</v>
      </c>
      <c r="P1379" s="191">
        <v>0</v>
      </c>
    </row>
    <row r="1380" spans="1:16" x14ac:dyDescent="0.25">
      <c r="A1380" s="190">
        <v>801010702</v>
      </c>
      <c r="B1380" s="190" t="s">
        <v>434</v>
      </c>
      <c r="C1380" s="190">
        <v>6122</v>
      </c>
      <c r="D1380" s="190" t="s">
        <v>408</v>
      </c>
      <c r="E1380" s="191">
        <v>0</v>
      </c>
      <c r="F1380" s="191">
        <v>0</v>
      </c>
      <c r="G1380" s="191">
        <v>0</v>
      </c>
      <c r="H1380" s="191">
        <v>0</v>
      </c>
      <c r="I1380" s="191">
        <v>0</v>
      </c>
      <c r="J1380" s="191">
        <v>0</v>
      </c>
      <c r="K1380" s="191">
        <v>0</v>
      </c>
      <c r="L1380" s="193">
        <v>16634464</v>
      </c>
      <c r="M1380" s="191">
        <v>0</v>
      </c>
      <c r="N1380" s="191">
        <v>0</v>
      </c>
      <c r="O1380" s="191">
        <v>0</v>
      </c>
      <c r="P1380" s="191">
        <v>0</v>
      </c>
    </row>
    <row r="1381" spans="1:16" x14ac:dyDescent="0.25">
      <c r="A1381" s="190">
        <v>801010702</v>
      </c>
      <c r="B1381" s="190" t="s">
        <v>436</v>
      </c>
      <c r="C1381" s="190">
        <v>6122</v>
      </c>
      <c r="D1381" s="190" t="s">
        <v>408</v>
      </c>
      <c r="E1381" s="191">
        <v>0</v>
      </c>
      <c r="F1381" s="191">
        <v>0</v>
      </c>
      <c r="G1381" s="191">
        <v>0</v>
      </c>
      <c r="H1381" s="191">
        <v>0</v>
      </c>
      <c r="I1381" s="191">
        <v>0</v>
      </c>
      <c r="J1381" s="191">
        <v>0</v>
      </c>
      <c r="K1381" s="191">
        <v>0</v>
      </c>
      <c r="L1381" s="191">
        <v>0</v>
      </c>
      <c r="M1381" s="191">
        <v>0</v>
      </c>
      <c r="N1381" s="191">
        <v>0</v>
      </c>
      <c r="O1381" s="193">
        <v>20687654.32</v>
      </c>
      <c r="P1381" s="191">
        <v>0</v>
      </c>
    </row>
    <row r="1382" spans="1:16" x14ac:dyDescent="0.25">
      <c r="A1382" s="190">
        <v>801010702</v>
      </c>
      <c r="B1382" s="190" t="s">
        <v>434</v>
      </c>
      <c r="C1382" s="190">
        <v>6132</v>
      </c>
      <c r="D1382" s="190" t="s">
        <v>408</v>
      </c>
      <c r="E1382" s="191">
        <v>0</v>
      </c>
      <c r="F1382" s="191">
        <v>0</v>
      </c>
      <c r="G1382" s="191">
        <v>0</v>
      </c>
      <c r="H1382" s="191">
        <v>0</v>
      </c>
      <c r="I1382" s="191">
        <v>0</v>
      </c>
      <c r="J1382" s="191">
        <v>0</v>
      </c>
      <c r="K1382" s="191">
        <v>0</v>
      </c>
      <c r="L1382" s="193">
        <v>10000000</v>
      </c>
      <c r="M1382" s="191">
        <v>0</v>
      </c>
      <c r="N1382" s="191">
        <v>0</v>
      </c>
      <c r="O1382" s="191">
        <v>0</v>
      </c>
      <c r="P1382" s="191">
        <v>0</v>
      </c>
    </row>
    <row r="1383" spans="1:16" x14ac:dyDescent="0.25">
      <c r="A1383" s="190">
        <v>602040101</v>
      </c>
      <c r="B1383" s="190" t="s">
        <v>407</v>
      </c>
      <c r="C1383" s="190">
        <v>9911</v>
      </c>
      <c r="D1383" s="190" t="s">
        <v>408</v>
      </c>
      <c r="E1383" s="191">
        <v>0</v>
      </c>
      <c r="F1383" s="191">
        <v>0</v>
      </c>
      <c r="G1383" s="191">
        <v>0</v>
      </c>
      <c r="H1383" s="191">
        <v>0</v>
      </c>
      <c r="I1383" s="191">
        <v>0</v>
      </c>
      <c r="J1383" s="191">
        <v>0</v>
      </c>
      <c r="K1383" s="191">
        <v>0</v>
      </c>
      <c r="L1383" s="191">
        <v>0</v>
      </c>
      <c r="M1383" s="191">
        <v>0</v>
      </c>
      <c r="N1383" s="191">
        <v>0</v>
      </c>
      <c r="O1383" s="193">
        <v>36118158.390000001</v>
      </c>
      <c r="P1383" s="191">
        <v>0</v>
      </c>
    </row>
  </sheetData>
  <autoFilter ref="A4:P1383">
    <sortState ref="A5:P1383">
      <sortCondition ref="C4:C1383"/>
    </sortState>
  </autoFilter>
  <mergeCells count="3">
    <mergeCell ref="A1:O1"/>
    <mergeCell ref="A2:O2"/>
    <mergeCell ref="A3:O3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2"/>
  <sheetViews>
    <sheetView topLeftCell="C1" workbookViewId="0">
      <selection activeCell="O11" sqref="O11"/>
    </sheetView>
  </sheetViews>
  <sheetFormatPr baseColWidth="10" defaultRowHeight="15" x14ac:dyDescent="0.25"/>
  <cols>
    <col min="2" max="2" width="23.140625" bestFit="1" customWidth="1"/>
    <col min="3" max="6" width="13.7109375" bestFit="1" customWidth="1"/>
    <col min="7" max="7" width="14.85546875" bestFit="1" customWidth="1"/>
    <col min="8" max="8" width="14.85546875" customWidth="1"/>
    <col min="9" max="9" width="9.140625" bestFit="1" customWidth="1"/>
    <col min="10" max="10" width="17" bestFit="1" customWidth="1"/>
    <col min="11" max="11" width="7" bestFit="1" customWidth="1"/>
    <col min="12" max="12" width="7.5703125" bestFit="1" customWidth="1"/>
    <col min="13" max="14" width="7" bestFit="1" customWidth="1"/>
  </cols>
  <sheetData>
    <row r="2" spans="2:15" x14ac:dyDescent="0.25">
      <c r="B2" t="s">
        <v>438</v>
      </c>
      <c r="C2" t="s">
        <v>221</v>
      </c>
      <c r="D2" t="s">
        <v>439</v>
      </c>
    </row>
    <row r="3" spans="2:15" x14ac:dyDescent="0.25">
      <c r="D3" t="s">
        <v>222</v>
      </c>
      <c r="E3" t="s">
        <v>223</v>
      </c>
      <c r="F3" t="s">
        <v>440</v>
      </c>
      <c r="G3" t="s">
        <v>448</v>
      </c>
      <c r="H3" t="s">
        <v>454</v>
      </c>
      <c r="O3" t="s">
        <v>455</v>
      </c>
    </row>
    <row r="4" spans="2:15" x14ac:dyDescent="0.25">
      <c r="B4" t="s">
        <v>441</v>
      </c>
      <c r="C4">
        <v>0</v>
      </c>
      <c r="D4">
        <v>0</v>
      </c>
      <c r="E4">
        <v>0</v>
      </c>
      <c r="F4">
        <v>0</v>
      </c>
    </row>
    <row r="5" spans="2:15" x14ac:dyDescent="0.25">
      <c r="B5" t="s">
        <v>444</v>
      </c>
      <c r="C5" s="192">
        <v>53186856</v>
      </c>
      <c r="D5" s="192">
        <v>53186856</v>
      </c>
      <c r="E5" s="192">
        <v>53186856</v>
      </c>
      <c r="F5" s="192">
        <v>51059971</v>
      </c>
      <c r="G5" s="194">
        <v>51060</v>
      </c>
      <c r="H5" s="194">
        <v>51137533</v>
      </c>
      <c r="I5" s="194">
        <v>51138</v>
      </c>
      <c r="J5" t="s">
        <v>449</v>
      </c>
      <c r="K5">
        <v>71682</v>
      </c>
      <c r="L5" s="195">
        <f>K5/$K$11</f>
        <v>0.69028542814221328</v>
      </c>
      <c r="M5" s="196">
        <f>+L5*$L$11</f>
        <v>86372.65448172258</v>
      </c>
      <c r="N5">
        <v>153198</v>
      </c>
      <c r="O5">
        <v>71813</v>
      </c>
    </row>
    <row r="6" spans="2:15" x14ac:dyDescent="0.25">
      <c r="B6" t="s">
        <v>442</v>
      </c>
      <c r="C6" s="192">
        <v>53186856</v>
      </c>
      <c r="D6" s="192">
        <v>53186856</v>
      </c>
      <c r="E6" s="192">
        <v>52391534.909999996</v>
      </c>
      <c r="F6" s="192">
        <v>51568629.340000004</v>
      </c>
      <c r="G6" s="194">
        <v>51569</v>
      </c>
      <c r="H6" s="194">
        <v>53186856</v>
      </c>
      <c r="I6" s="194">
        <v>53187</v>
      </c>
      <c r="J6" t="s">
        <v>450</v>
      </c>
      <c r="M6" s="196"/>
    </row>
    <row r="7" spans="2:15" x14ac:dyDescent="0.25">
      <c r="B7" t="s">
        <v>443</v>
      </c>
      <c r="C7" s="192">
        <v>20801494</v>
      </c>
      <c r="D7" s="192">
        <v>20801494</v>
      </c>
      <c r="E7" s="192">
        <v>20643702.52</v>
      </c>
      <c r="F7" s="192">
        <v>43729273.640000001</v>
      </c>
      <c r="G7" s="194">
        <v>43730</v>
      </c>
      <c r="H7" s="192">
        <v>20801494</v>
      </c>
      <c r="I7" s="192">
        <v>20801</v>
      </c>
      <c r="J7" t="s">
        <v>451</v>
      </c>
      <c r="K7">
        <v>1412</v>
      </c>
      <c r="L7" s="195">
        <f t="shared" ref="L7:L9" si="0">K7/$K$11</f>
        <v>1.3597319055506336E-2</v>
      </c>
      <c r="M7" s="196">
        <f>+L7*$L$11</f>
        <v>1701.3781441392857</v>
      </c>
      <c r="N7">
        <v>3018</v>
      </c>
      <c r="O7">
        <v>1701</v>
      </c>
    </row>
    <row r="8" spans="2:15" x14ac:dyDescent="0.25">
      <c r="B8" t="s">
        <v>445</v>
      </c>
      <c r="C8">
        <v>0</v>
      </c>
      <c r="D8">
        <v>0</v>
      </c>
      <c r="E8">
        <v>0</v>
      </c>
      <c r="F8" s="192">
        <v>47882136</v>
      </c>
      <c r="G8" s="194"/>
      <c r="H8" s="194"/>
      <c r="I8" s="194"/>
      <c r="J8" t="s">
        <v>452</v>
      </c>
      <c r="K8">
        <v>30491</v>
      </c>
      <c r="L8" s="195">
        <f t="shared" si="0"/>
        <v>0.2936231269981896</v>
      </c>
      <c r="M8" s="196">
        <f>+L8*$L$11</f>
        <v>36739.887388775474</v>
      </c>
      <c r="N8">
        <v>65165</v>
      </c>
      <c r="O8">
        <f>108883-O5+14230</f>
        <v>51300</v>
      </c>
    </row>
    <row r="9" spans="2:15" x14ac:dyDescent="0.25">
      <c r="B9" t="s">
        <v>446</v>
      </c>
      <c r="C9">
        <v>0</v>
      </c>
      <c r="D9">
        <v>0</v>
      </c>
      <c r="E9">
        <v>0</v>
      </c>
      <c r="F9">
        <v>0</v>
      </c>
      <c r="G9" s="194"/>
      <c r="H9" s="194"/>
      <c r="I9" s="194"/>
      <c r="J9" t="s">
        <v>453</v>
      </c>
      <c r="K9">
        <v>259</v>
      </c>
      <c r="L9" s="195">
        <f t="shared" si="0"/>
        <v>2.4941258040907517E-3</v>
      </c>
      <c r="M9" s="196">
        <f>+L9*$L$11</f>
        <v>312.07998536265939</v>
      </c>
      <c r="N9">
        <v>554</v>
      </c>
      <c r="O9">
        <v>312</v>
      </c>
    </row>
    <row r="10" spans="2:15" x14ac:dyDescent="0.25">
      <c r="B10" t="s">
        <v>447</v>
      </c>
      <c r="C10">
        <v>0</v>
      </c>
      <c r="D10">
        <v>0</v>
      </c>
      <c r="E10">
        <v>0</v>
      </c>
      <c r="F10" s="192">
        <v>75575028</v>
      </c>
      <c r="G10" s="194">
        <v>75575</v>
      </c>
      <c r="H10" s="194"/>
      <c r="I10" s="194"/>
    </row>
    <row r="11" spans="2:15" x14ac:dyDescent="0.25">
      <c r="B11" t="s">
        <v>258</v>
      </c>
      <c r="C11" s="192">
        <v>127175206</v>
      </c>
      <c r="D11" s="192">
        <v>127175206</v>
      </c>
      <c r="E11" s="192">
        <v>126222093.43000001</v>
      </c>
      <c r="F11" s="192">
        <v>269815037.98000002</v>
      </c>
      <c r="G11" s="194">
        <f>SUM(G5:G10)</f>
        <v>221934</v>
      </c>
      <c r="H11" s="194">
        <f>SUM(H5:H10)</f>
        <v>125125883</v>
      </c>
      <c r="I11" s="194">
        <f>SUM(I5:I10)</f>
        <v>125126</v>
      </c>
      <c r="K11">
        <v>103844</v>
      </c>
      <c r="L11" s="194">
        <v>125126</v>
      </c>
      <c r="M11" s="196">
        <f>SUM(M5:M10)</f>
        <v>125126</v>
      </c>
      <c r="N11" s="196">
        <f>SUM(N5:N10)</f>
        <v>221935</v>
      </c>
      <c r="O11" s="196">
        <f>SUM(O5:O10)</f>
        <v>125126</v>
      </c>
    </row>
    <row r="12" spans="2:15" x14ac:dyDescent="0.25">
      <c r="O12" s="19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Formato</vt:lpstr>
      <vt:lpstr>Base</vt:lpstr>
      <vt:lpstr>Hoja3</vt:lpstr>
      <vt:lpstr>Hoja1</vt:lpstr>
      <vt:lpstr>Hoja2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OJuanJose</dc:creator>
  <cp:lastModifiedBy>OJuanJose</cp:lastModifiedBy>
  <cp:lastPrinted>2013-10-07T16:06:59Z</cp:lastPrinted>
  <dcterms:created xsi:type="dcterms:W3CDTF">2012-08-28T22:00:06Z</dcterms:created>
  <dcterms:modified xsi:type="dcterms:W3CDTF">2013-10-07T16:44:33Z</dcterms:modified>
</cp:coreProperties>
</file>