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17715" windowHeight="4245"/>
  </bookViews>
  <sheets>
    <sheet name="Formato" sheetId="1" r:id="rId1"/>
    <sheet name="Base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31" i="1" l="1"/>
  <c r="L531" i="1"/>
  <c r="K531" i="1"/>
  <c r="N530" i="1"/>
  <c r="L530" i="1"/>
  <c r="K530" i="1"/>
  <c r="N529" i="1"/>
  <c r="L529" i="1"/>
  <c r="K529" i="1"/>
  <c r="N528" i="1"/>
  <c r="L528" i="1"/>
  <c r="K528" i="1"/>
  <c r="M528" i="1" s="1"/>
  <c r="N527" i="1"/>
  <c r="L527" i="1"/>
  <c r="K527" i="1"/>
  <c r="N526" i="1"/>
  <c r="N533" i="1" s="1"/>
  <c r="L526" i="1"/>
  <c r="K526" i="1"/>
  <c r="M526" i="1" s="1"/>
  <c r="N520" i="1"/>
  <c r="L520" i="1"/>
  <c r="K520" i="1"/>
  <c r="N519" i="1"/>
  <c r="N518" i="1"/>
  <c r="L519" i="1"/>
  <c r="K519" i="1"/>
  <c r="L533" i="1" l="1"/>
  <c r="M527" i="1"/>
  <c r="M529" i="1"/>
  <c r="M531" i="1"/>
  <c r="M530" i="1"/>
  <c r="K533" i="1"/>
  <c r="M533" i="1"/>
  <c r="N522" i="1"/>
  <c r="M520" i="1" l="1"/>
  <c r="M519" i="1"/>
  <c r="L518" i="1"/>
  <c r="L522" i="1" s="1"/>
  <c r="K518" i="1"/>
  <c r="K522" i="1" s="1"/>
  <c r="N513" i="1"/>
  <c r="L513" i="1"/>
  <c r="K513" i="1"/>
  <c r="M513" i="1" s="1"/>
  <c r="N512" i="1"/>
  <c r="L512" i="1"/>
  <c r="K512" i="1"/>
  <c r="N511" i="1"/>
  <c r="L511" i="1"/>
  <c r="K511" i="1"/>
  <c r="M511" i="1" s="1"/>
  <c r="N482" i="1"/>
  <c r="M482" i="1"/>
  <c r="L482" i="1"/>
  <c r="K482" i="1"/>
  <c r="J482" i="1"/>
  <c r="I482" i="1"/>
  <c r="N481" i="1"/>
  <c r="M481" i="1"/>
  <c r="L481" i="1"/>
  <c r="K481" i="1"/>
  <c r="J481" i="1"/>
  <c r="I481" i="1"/>
  <c r="N480" i="1"/>
  <c r="M480" i="1"/>
  <c r="N479" i="1"/>
  <c r="L480" i="1"/>
  <c r="K480" i="1"/>
  <c r="J480" i="1"/>
  <c r="I480" i="1"/>
  <c r="M479" i="1"/>
  <c r="L479" i="1"/>
  <c r="K479" i="1"/>
  <c r="J479" i="1"/>
  <c r="I479" i="1"/>
  <c r="N478" i="1"/>
  <c r="M478" i="1"/>
  <c r="L478" i="1"/>
  <c r="K478" i="1"/>
  <c r="J478" i="1"/>
  <c r="I478" i="1"/>
  <c r="O478" i="1" s="1"/>
  <c r="M463" i="1"/>
  <c r="M462" i="1"/>
  <c r="M461" i="1"/>
  <c r="K463" i="1"/>
  <c r="K462" i="1"/>
  <c r="K461" i="1"/>
  <c r="K465" i="1" s="1"/>
  <c r="M454" i="1"/>
  <c r="M453" i="1"/>
  <c r="M452" i="1"/>
  <c r="K454" i="1"/>
  <c r="K453" i="1"/>
  <c r="K452" i="1"/>
  <c r="K456" i="1" s="1"/>
  <c r="N445" i="1"/>
  <c r="L445" i="1"/>
  <c r="K445" i="1"/>
  <c r="N444" i="1"/>
  <c r="L444" i="1"/>
  <c r="K444" i="1"/>
  <c r="N443" i="1"/>
  <c r="L443" i="1"/>
  <c r="K443" i="1"/>
  <c r="N442" i="1"/>
  <c r="L442" i="1"/>
  <c r="K442" i="1"/>
  <c r="M442" i="1" s="1"/>
  <c r="N438" i="1"/>
  <c r="L438" i="1"/>
  <c r="K438" i="1"/>
  <c r="N437" i="1"/>
  <c r="L437" i="1"/>
  <c r="K437" i="1"/>
  <c r="N436" i="1"/>
  <c r="L436" i="1"/>
  <c r="K436" i="1"/>
  <c r="N435" i="1"/>
  <c r="N440" i="1" s="1"/>
  <c r="L435" i="1"/>
  <c r="K435" i="1"/>
  <c r="K440" i="1" s="1"/>
  <c r="J421" i="1"/>
  <c r="J419" i="1"/>
  <c r="J418" i="1"/>
  <c r="J417" i="1"/>
  <c r="J416" i="1"/>
  <c r="J415" i="1"/>
  <c r="J414" i="1"/>
  <c r="N405" i="1"/>
  <c r="L405" i="1"/>
  <c r="K405" i="1"/>
  <c r="J405" i="1"/>
  <c r="N404" i="1"/>
  <c r="L404" i="1"/>
  <c r="K404" i="1"/>
  <c r="J404" i="1"/>
  <c r="N403" i="1"/>
  <c r="L403" i="1"/>
  <c r="K403" i="1"/>
  <c r="J403" i="1"/>
  <c r="N402" i="1"/>
  <c r="L402" i="1"/>
  <c r="K402" i="1"/>
  <c r="J402" i="1"/>
  <c r="N401" i="1"/>
  <c r="N407" i="1" s="1"/>
  <c r="L401" i="1"/>
  <c r="L407" i="1" s="1"/>
  <c r="K401" i="1"/>
  <c r="M401" i="1" s="1"/>
  <c r="J401" i="1"/>
  <c r="J407" i="1" s="1"/>
  <c r="L368" i="1"/>
  <c r="L367" i="1"/>
  <c r="L366" i="1"/>
  <c r="L365" i="1"/>
  <c r="L364" i="1"/>
  <c r="L363" i="1"/>
  <c r="E333" i="1"/>
  <c r="E188" i="1"/>
  <c r="L160" i="1"/>
  <c r="L159" i="1"/>
  <c r="L158" i="1"/>
  <c r="L157" i="1"/>
  <c r="L156" i="1"/>
  <c r="L150" i="1"/>
  <c r="L149" i="1"/>
  <c r="L148" i="1"/>
  <c r="L147" i="1"/>
  <c r="L440" i="1" l="1"/>
  <c r="L370" i="1"/>
  <c r="J423" i="1"/>
  <c r="M436" i="1"/>
  <c r="M456" i="1"/>
  <c r="M465" i="1"/>
  <c r="M518" i="1"/>
  <c r="M522" i="1" s="1"/>
  <c r="K407" i="1"/>
  <c r="M435" i="1"/>
  <c r="N515" i="1"/>
  <c r="N508" i="1" s="1"/>
  <c r="L515" i="1"/>
  <c r="L508" i="1" s="1"/>
  <c r="K515" i="1"/>
  <c r="K508" i="1" s="1"/>
  <c r="M512" i="1"/>
  <c r="M515" i="1" s="1"/>
  <c r="M508" i="1" s="1"/>
  <c r="O482" i="1"/>
  <c r="O481" i="1"/>
  <c r="N484" i="1"/>
  <c r="M484" i="1"/>
  <c r="L484" i="1"/>
  <c r="K484" i="1"/>
  <c r="J484" i="1"/>
  <c r="O480" i="1"/>
  <c r="I484" i="1"/>
  <c r="O479" i="1"/>
  <c r="M445" i="1"/>
  <c r="N447" i="1"/>
  <c r="L447" i="1"/>
  <c r="M444" i="1"/>
  <c r="M443" i="1"/>
  <c r="K447" i="1"/>
  <c r="M438" i="1"/>
  <c r="M437" i="1"/>
  <c r="M405" i="1"/>
  <c r="M404" i="1"/>
  <c r="M403" i="1"/>
  <c r="M402" i="1"/>
  <c r="L59" i="1"/>
  <c r="F59" i="1"/>
  <c r="E58" i="1"/>
  <c r="N57" i="1"/>
  <c r="K57" i="1"/>
  <c r="H57" i="1"/>
  <c r="D57" i="1"/>
  <c r="E55" i="1"/>
  <c r="E54" i="1"/>
  <c r="E53" i="1"/>
  <c r="N52" i="1"/>
  <c r="E52" i="1"/>
  <c r="E50" i="1"/>
  <c r="E49" i="1"/>
  <c r="E48" i="1"/>
  <c r="K47" i="1"/>
  <c r="E47" i="1"/>
  <c r="E46" i="1"/>
  <c r="E45" i="1"/>
  <c r="M407" i="1" l="1"/>
  <c r="E192" i="1"/>
  <c r="E336" i="1"/>
  <c r="M447" i="1"/>
  <c r="M440" i="1"/>
  <c r="O484" i="1"/>
  <c r="M119" i="1"/>
  <c r="M117" i="1"/>
  <c r="N100" i="1"/>
  <c r="E61" i="1"/>
  <c r="L135" i="1"/>
  <c r="O119" i="1"/>
  <c r="O117" i="1"/>
  <c r="O115" i="1"/>
  <c r="L100" i="1"/>
  <c r="M61" i="1"/>
  <c r="L136" i="1"/>
  <c r="M115" i="1"/>
  <c r="L134" i="1"/>
  <c r="O118" i="1"/>
  <c r="O114" i="1"/>
  <c r="L99" i="1"/>
  <c r="L137" i="1"/>
  <c r="L133" i="1"/>
  <c r="M118" i="1"/>
  <c r="M116" i="1"/>
  <c r="M114" i="1"/>
  <c r="N99" i="1"/>
  <c r="G60" i="1"/>
  <c r="O116" i="1"/>
  <c r="K81" i="1"/>
  <c r="L115" i="1"/>
  <c r="N115" i="1" s="1"/>
  <c r="L118" i="1"/>
  <c r="L132" i="1"/>
  <c r="K100" i="1"/>
  <c r="N81" i="1"/>
  <c r="N84" i="1" s="1"/>
  <c r="L117" i="1"/>
  <c r="N117" i="1" s="1"/>
  <c r="L114" i="1"/>
  <c r="O113" i="1"/>
  <c r="N98" i="1"/>
  <c r="K99" i="1"/>
  <c r="L119" i="1"/>
  <c r="L116" i="1"/>
  <c r="M113" i="1"/>
  <c r="L98" i="1"/>
  <c r="L113" i="1"/>
  <c r="K98" i="1"/>
  <c r="K102" i="1" l="1"/>
  <c r="N116" i="1"/>
  <c r="M99" i="1"/>
  <c r="N102" i="1"/>
  <c r="L152" i="1"/>
  <c r="M98" i="1"/>
  <c r="L122" i="1"/>
  <c r="M122" i="1"/>
  <c r="N119" i="1"/>
  <c r="O122" i="1"/>
  <c r="O126" i="1" s="1"/>
  <c r="L139" i="1"/>
  <c r="L162" i="1"/>
  <c r="L102" i="1"/>
  <c r="N114" i="1"/>
  <c r="M100" i="1"/>
  <c r="N118" i="1"/>
  <c r="N113" i="1"/>
  <c r="L126" i="1" l="1"/>
  <c r="M102" i="1"/>
  <c r="M126" i="1"/>
  <c r="N122" i="1"/>
  <c r="N126" i="1" l="1"/>
</calcChain>
</file>

<file path=xl/sharedStrings.xml><?xml version="1.0" encoding="utf-8"?>
<sst xmlns="http://schemas.openxmlformats.org/spreadsheetml/2006/main" count="677" uniqueCount="378">
  <si>
    <t>2012-2013</t>
  </si>
  <si>
    <t>Estadística de Educación Superior, por Institución</t>
  </si>
  <si>
    <t>Inicio de Cursos, 2012-2013</t>
  </si>
  <si>
    <t>Módulo de Docencia</t>
  </si>
  <si>
    <t>Identificación de la Institución</t>
  </si>
  <si>
    <t>Clave de la Institución</t>
  </si>
  <si>
    <t>Código Postal</t>
  </si>
  <si>
    <r>
      <t xml:space="preserve">Localidad </t>
    </r>
    <r>
      <rPr>
        <u/>
        <sz val="10"/>
        <color theme="1"/>
        <rFont val="Times New Roman"/>
        <family val="1"/>
      </rPr>
      <t xml:space="preserve"> </t>
    </r>
  </si>
  <si>
    <r>
      <t xml:space="preserve">Entidad Federativa </t>
    </r>
    <r>
      <rPr>
        <u/>
        <sz val="10"/>
        <color theme="1"/>
        <rFont val="Times New Roman"/>
        <family val="1"/>
      </rPr>
      <t xml:space="preserve"> </t>
    </r>
  </si>
  <si>
    <t>Teléfono</t>
  </si>
  <si>
    <t>Extensión</t>
  </si>
  <si>
    <t>Fax</t>
  </si>
  <si>
    <r>
      <t xml:space="preserve">Dependencia Normativa </t>
    </r>
    <r>
      <rPr>
        <u/>
        <sz val="10"/>
        <color theme="1"/>
        <rFont val="Times New Roman"/>
        <family val="1"/>
      </rPr>
      <t xml:space="preserve"> </t>
    </r>
  </si>
  <si>
    <r>
      <t xml:space="preserve">Importante: </t>
    </r>
    <r>
      <rPr>
        <sz val="10"/>
        <color theme="1"/>
        <rFont val="Times New Roman"/>
        <family val="1"/>
      </rPr>
      <t>La información estadística es una herramienta fundamental para la planeación y la toma acertada de decisiones. Los cuestionarios 911 son los medios para recopilar la información básica de educación superior.</t>
    </r>
  </si>
  <si>
    <t>(Docencia)</t>
  </si>
  <si>
    <t>I.   Facultades,   Escuelas,   Centros, Divisiones o Departamentos y Alumnos</t>
  </si>
  <si>
    <r>
      <t xml:space="preserve">1. </t>
    </r>
    <r>
      <rPr>
        <sz val="10"/>
        <color rgb="FF231F20"/>
        <rFont val="Times New Roman"/>
        <family val="1"/>
      </rPr>
      <t>Escriba por modalidad el número de facultades, escuelas, centros, divisiones o departamentos que pertenecen a la institución, según el nivel educativo que corresponda, y el número de alumnos que tienen dichas facultades, escuelas, centros, divisiones o departamentos (no considere el número de carreras).</t>
    </r>
  </si>
  <si>
    <t>Nivel</t>
  </si>
  <si>
    <t>Total</t>
  </si>
  <si>
    <t>Modalidad Escolar</t>
  </si>
  <si>
    <t>Facultades, Escuelas, Centros, Divisiones o Departamentos</t>
  </si>
  <si>
    <t>Alumnos</t>
  </si>
  <si>
    <t>Modalidad no escolarizada (sistema abierto) o mixta</t>
  </si>
  <si>
    <t>Posgrado</t>
  </si>
  <si>
    <t>II. Personal en Áreas Centrales</t>
  </si>
  <si>
    <r>
      <t xml:space="preserve">1 . </t>
    </r>
    <r>
      <rPr>
        <sz val="10"/>
        <color rgb="FF231F20"/>
        <rFont val="Times New Roman"/>
        <family val="1"/>
      </rPr>
      <t>Escriba,   de   acuerdo   con   la   función   que desempeña, el número de personas que laboran en las áreas centrales de la institución (rectoría, oficinas, administrativas, centrales, etcétera), desglóselo por sexo e indique cuántos de ellos presentan discapacidad.</t>
    </r>
  </si>
  <si>
    <t>Nota:</t>
  </si>
  <si>
    <t>Si una persona desempeña dos o más funciones, anótela en la que dedique más tiempo.</t>
  </si>
  <si>
    <t>Total de personal</t>
  </si>
  <si>
    <t>Hombres</t>
  </si>
  <si>
    <t>Mujeres</t>
  </si>
  <si>
    <t>* Incluye técnico superior universitario y profesional asociado.</t>
  </si>
  <si>
    <t>I I I .   P e r s o n a l   d e   F a c u l t a d e s , Escuelas, Centros, Divisiones o Departamentos</t>
  </si>
  <si>
    <r>
      <t xml:space="preserve">1. </t>
    </r>
    <r>
      <rPr>
        <sz val="10"/>
        <color rgb="FF231F20"/>
        <rFont val="Times New Roman"/>
        <family val="1"/>
      </rPr>
      <t>Escriba, de acuerdo con la función que desempeña,   el número de personas que labora en las facultades, escuelas, centros, divisiones o departamentos, desglóselo por sexo e indique cuántos de ellos presentan discapacidad.</t>
    </r>
  </si>
  <si>
    <t>a) Si una persona desempeña dos o más funciones, anótela en la que dedique más tiempo.</t>
  </si>
  <si>
    <t>Directivo</t>
  </si>
  <si>
    <t>Auxiliar de Investigador</t>
  </si>
  <si>
    <t>Administrativo</t>
  </si>
  <si>
    <t>Otros</t>
  </si>
  <si>
    <r>
      <t xml:space="preserve">Total de personal en las facultades, escuelas, centros, divisiones o departamentos. </t>
    </r>
    <r>
      <rPr>
        <sz val="10"/>
        <color rgb="FF231F20"/>
        <rFont val="Times New Roman"/>
        <family val="1"/>
      </rPr>
      <t>(Este dato debe ser igual a la suma del personal registrado en los cuestionarios 911.9 de facultades, escuelas, centros, divisiones o departamentos).</t>
    </r>
  </si>
  <si>
    <r>
      <t xml:space="preserve">Total de personal de la Institución. </t>
    </r>
    <r>
      <rPr>
        <sz val="10"/>
        <color rgb="FF231F20"/>
        <rFont val="Times New Roman"/>
        <family val="1"/>
      </rPr>
      <t>(Este dato debe ser igual a la suma del personal de las áreas centrales más el personal de las facultades, escuelas, centros, divisiones o departamentos).</t>
    </r>
  </si>
  <si>
    <r>
      <t xml:space="preserve">2. Escriba, de acuerdo al tipo de intercambio, el número de docentes e investigadores extranjeros que realizaron algún tipo de estancia en la institución, durante el </t>
    </r>
    <r>
      <rPr>
        <b/>
        <sz val="10"/>
        <color rgb="FF231F20"/>
        <rFont val="Times New Roman"/>
        <family val="1"/>
      </rPr>
      <t>ciclo escolar 2011-2012</t>
    </r>
    <r>
      <rPr>
        <sz val="10"/>
        <color rgb="FF231F20"/>
        <rFont val="Times New Roman"/>
        <family val="1"/>
      </rPr>
      <t>.</t>
    </r>
  </si>
  <si>
    <t>Tipo de intercambio</t>
  </si>
  <si>
    <t>Docentes e Investigadores</t>
  </si>
  <si>
    <t>Docencia</t>
  </si>
  <si>
    <t>Estancias Sabáticas</t>
  </si>
  <si>
    <t>Estancias de Investigación</t>
  </si>
  <si>
    <t>Asistencia a Congreso o Eventos Académicos</t>
  </si>
  <si>
    <t>Seminarios de Proyectos Conjuntos</t>
  </si>
  <si>
    <t>Estancias Tutoriales y Exámenes de Posgrado</t>
  </si>
  <si>
    <t>IV. Finanzas</t>
  </si>
  <si>
    <r>
      <t xml:space="preserve">1. </t>
    </r>
    <r>
      <rPr>
        <sz val="10"/>
        <color rgb="FF231F20"/>
        <rFont val="Times New Roman"/>
        <family val="1"/>
      </rPr>
      <t>Escriba el monto de los ingresos de la institución por fuentes de financiamiento (miles de pesos) en el 2011.</t>
    </r>
  </si>
  <si>
    <t>Ingresos</t>
  </si>
  <si>
    <r>
      <t xml:space="preserve">2. </t>
    </r>
    <r>
      <rPr>
        <sz val="10"/>
        <color rgb="FF231F20"/>
        <rFont val="Times New Roman"/>
        <family val="1"/>
      </rPr>
      <t>Escriba  el  gasto  de  la  institución  por función (miles de pesos) en el 2011.</t>
    </r>
  </si>
  <si>
    <t>Gastos</t>
  </si>
  <si>
    <t>Módulo de Investigación</t>
  </si>
  <si>
    <r>
      <t xml:space="preserve">Nombre de la Institución </t>
    </r>
    <r>
      <rPr>
        <u/>
        <sz val="12"/>
        <color theme="1"/>
        <rFont val="Times New Roman"/>
        <family val="1"/>
      </rPr>
      <t xml:space="preserve"> </t>
    </r>
  </si>
  <si>
    <t>Nombre y firma del responsable del llenado</t>
  </si>
  <si>
    <t>Fecha de llenado</t>
  </si>
  <si>
    <t>Año</t>
  </si>
  <si>
    <t>Mes</t>
  </si>
  <si>
    <t>Día</t>
  </si>
  <si>
    <t>(Investigación)</t>
  </si>
  <si>
    <t>I. Institutos, Centros, Divisiones o Áreas de investigación</t>
  </si>
  <si>
    <r>
      <t xml:space="preserve">1. </t>
    </r>
    <r>
      <rPr>
        <sz val="10"/>
        <color rgb="FF231F20"/>
        <rFont val="Times New Roman"/>
        <family val="1"/>
      </rPr>
      <t>Escriba   la   cantidad   total   de   institutos,   centros, divisiones o áreas donde se realizan actividades de investigación.</t>
    </r>
  </si>
  <si>
    <t>Total de Institutos, Centros, Divisiones o Áreas de Investigación</t>
  </si>
  <si>
    <t>II. Proyectos de Investigación por Tipo y Área de Estudio</t>
  </si>
  <si>
    <t>Tipo</t>
  </si>
  <si>
    <t>Proyectos</t>
  </si>
  <si>
    <t>En proceso</t>
  </si>
  <si>
    <t>En proceso con colaboración extranjera</t>
  </si>
  <si>
    <r>
      <t xml:space="preserve">2. Escriba por área de estudio el número de proyectos realizados en el </t>
    </r>
    <r>
      <rPr>
        <b/>
        <sz val="10"/>
        <color rgb="FF231F20"/>
        <rFont val="Times New Roman"/>
        <family val="1"/>
      </rPr>
      <t xml:space="preserve">ciclo escolar 2011-2012 </t>
    </r>
    <r>
      <rPr>
        <sz val="10"/>
        <color rgb="FF231F20"/>
        <rFont val="Times New Roman"/>
        <family val="1"/>
      </rPr>
      <t>o que continúan en proceso.</t>
    </r>
  </si>
  <si>
    <t>Área</t>
  </si>
  <si>
    <t>Educación</t>
  </si>
  <si>
    <t>Artes y Humanidades</t>
  </si>
  <si>
    <t>Salud</t>
  </si>
  <si>
    <t>Servicios</t>
  </si>
  <si>
    <r>
      <t xml:space="preserve">III. </t>
    </r>
    <r>
      <rPr>
        <b/>
        <i/>
        <sz val="12"/>
        <color rgb="FF231F20"/>
        <rFont val="Times New Roman"/>
        <family val="1"/>
      </rPr>
      <t>Personal de los Institutos, Centros, Divisiones o Áreas de Investigación</t>
    </r>
  </si>
  <si>
    <t>Docente-Investigador y Docente-Auxiliar de Investigador</t>
  </si>
  <si>
    <t>Investigador</t>
  </si>
  <si>
    <t>Total de personal de los institutos, centros, divisiones o áreas de investigación</t>
  </si>
  <si>
    <t>IV. Investigadores</t>
  </si>
  <si>
    <t>Personal por función</t>
  </si>
  <si>
    <t>Total de Personal</t>
  </si>
  <si>
    <t>Tiempo Completo</t>
  </si>
  <si>
    <t>Medio Tiempo</t>
  </si>
  <si>
    <t>Por Horas</t>
  </si>
  <si>
    <t>Nivel de Estudios</t>
  </si>
  <si>
    <t>Técnico Superior*</t>
  </si>
  <si>
    <r>
      <t>*</t>
    </r>
    <r>
      <rPr>
        <sz val="9"/>
        <color rgb="FF231F20"/>
        <rFont val="Times New Roman"/>
        <family val="1"/>
      </rPr>
      <t>Incluye técnico superior universitario y profesional asociado.</t>
    </r>
  </si>
  <si>
    <t>Antigüedad</t>
  </si>
  <si>
    <t>De 0 a 4 años</t>
  </si>
  <si>
    <t>De 5 a 9 años</t>
  </si>
  <si>
    <t>De 30 años o más</t>
  </si>
  <si>
    <t>Grupos de Edad</t>
  </si>
  <si>
    <t>De 65 años o más</t>
  </si>
  <si>
    <t>La información de este módulo, corresponde al ciclo escolar de 2011-2012</t>
  </si>
  <si>
    <t>(Extensión y Difusión)</t>
  </si>
  <si>
    <t>I. Eventos</t>
  </si>
  <si>
    <r>
      <t xml:space="preserve">1. </t>
    </r>
    <r>
      <rPr>
        <sz val="10"/>
        <color rgb="FF231F20"/>
        <rFont val="Times New Roman"/>
        <family val="1"/>
      </rPr>
      <t>Escriba el número de eventos que realizó la institución para la promoción de la ciencia, la tecnología, la cultura y las manifestaciones artísticas, según la siguiente tabla.</t>
    </r>
  </si>
  <si>
    <t>Tipos</t>
  </si>
  <si>
    <t>1. Conferencias</t>
  </si>
  <si>
    <t>2. Exhibiciones</t>
  </si>
  <si>
    <t>3. Exposiciones</t>
  </si>
  <si>
    <t>4. Talleres</t>
  </si>
  <si>
    <t>5. Eventos Culturales y Artísticos</t>
  </si>
  <si>
    <t>6. Eventos Deportivos</t>
  </si>
  <si>
    <t>Eventos</t>
  </si>
  <si>
    <t>II. Obra Editorial</t>
  </si>
  <si>
    <t>Publicaciones</t>
  </si>
  <si>
    <t>Electrónicas o Digitales</t>
  </si>
  <si>
    <t>Otras</t>
  </si>
  <si>
    <t>Títulos</t>
  </si>
  <si>
    <t>Co-ediciones internacionales</t>
  </si>
  <si>
    <t>III. Cursos Extracurriculares</t>
  </si>
  <si>
    <r>
      <t xml:space="preserve">1. </t>
    </r>
    <r>
      <rPr>
        <sz val="10"/>
        <color rgb="FF231F20"/>
        <rFont val="Times New Roman"/>
        <family val="1"/>
      </rPr>
      <t>Escriba el número de cursos extracurriculares que se impartieron en la escuela y el número de alumnos que los cursaron, desglóselos por sexo e indique cuántos de ellos presentan discapacidad.</t>
    </r>
  </si>
  <si>
    <t>Número</t>
  </si>
  <si>
    <t>IV. Servicios a la Comunidad</t>
  </si>
  <si>
    <r>
      <t xml:space="preserve">1. </t>
    </r>
    <r>
      <rPr>
        <sz val="10"/>
        <color rgb="FF231F20"/>
        <rFont val="Times New Roman"/>
        <family val="1"/>
      </rPr>
      <t>Escriba el total de consultas y asesorías por áreas de atención .</t>
    </r>
  </si>
  <si>
    <t>Total de Consultas y Asesorías</t>
  </si>
  <si>
    <t>Especifique:</t>
  </si>
  <si>
    <t>V. Servicio Social, Prácticas Profesionales e intercambio académico</t>
  </si>
  <si>
    <r>
      <t xml:space="preserve">1. </t>
    </r>
    <r>
      <rPr>
        <sz val="10"/>
        <color rgb="FF231F20"/>
        <rFont val="Times New Roman"/>
        <family val="1"/>
      </rPr>
      <t>Escriba por sector el número de alumnos que realizaron el servicio social, desglóselo por sexo e indique cuántos de ellos presentan discapacidad.</t>
    </r>
  </si>
  <si>
    <t>Sector</t>
  </si>
  <si>
    <t>Privado</t>
  </si>
  <si>
    <t>Social</t>
  </si>
  <si>
    <r>
      <t xml:space="preserve">2. </t>
    </r>
    <r>
      <rPr>
        <sz val="10"/>
        <color rgb="FF231F20"/>
        <rFont val="Times New Roman"/>
        <family val="1"/>
      </rPr>
      <t>Escriba por sector el número de alumnos que realizaron prácticas profesionales, desglóselo por sexo e indique cuántos de ellos presentan discapacidad.</t>
    </r>
  </si>
  <si>
    <t>Al extranjero</t>
  </si>
  <si>
    <t>3. Escriba el número de alumnos de la institución, que realizaron algún tipo de intercambio con valor curricular al extranjero o a otras instituciones del país.</t>
  </si>
  <si>
    <t>Tipo de Intercambio</t>
  </si>
  <si>
    <t>Del extranjero</t>
  </si>
  <si>
    <t>4. Escriba el número de alumnos que vinieron del extranjero o de otras instituciones del país, a realizar algún tipo de intercambio con valor curricular, en la institución .</t>
  </si>
  <si>
    <t>VI. Proyectos de vinculación con las empresas</t>
  </si>
  <si>
    <r>
      <t xml:space="preserve">1. </t>
    </r>
    <r>
      <rPr>
        <sz val="10"/>
        <color rgb="FF231F20"/>
        <rFont val="Times New Roman"/>
        <family val="1"/>
      </rPr>
      <t>Escriba, según su tipo, el número de proyectos de vinculación que tiene la institución con empresas.</t>
    </r>
  </si>
  <si>
    <t>Proyectos de vinculación</t>
  </si>
  <si>
    <t>Prácticas</t>
  </si>
  <si>
    <t>Otro</t>
  </si>
  <si>
    <t>VII. Personal</t>
  </si>
  <si>
    <r>
      <t xml:space="preserve">1. </t>
    </r>
    <r>
      <rPr>
        <sz val="10"/>
        <color rgb="FF231F20"/>
        <rFont val="Times New Roman"/>
        <family val="1"/>
      </rPr>
      <t>Escriba el total de personal dedicado a las actividades de extensión, desglóselo por sexo e indique cuántos de ellos presentan discapacidad .</t>
    </r>
  </si>
  <si>
    <r>
      <t xml:space="preserve">2.  </t>
    </r>
    <r>
      <rPr>
        <sz val="10"/>
        <color rgb="FF231F20"/>
        <rFont val="Times New Roman"/>
        <family val="1"/>
      </rPr>
      <t>Escriba el total de personal dedicado a las actividades de extensión por tiempo de dedicación y sexo e indique cuántos de ellos presentan discapacidad.</t>
    </r>
  </si>
  <si>
    <r>
      <t xml:space="preserve">3. </t>
    </r>
    <r>
      <rPr>
        <sz val="10"/>
        <color rgb="FF231F20"/>
        <rFont val="Times New Roman"/>
        <family val="1"/>
      </rPr>
      <t>Escriba el total de personal dedicado a las actividades de extensión por nivel de estudios y sexo e indique cuántos de ellos presentan discapacidad.</t>
    </r>
  </si>
  <si>
    <t>En posgrado incluye estudios de especialidad, maestría y doctorado.</t>
  </si>
  <si>
    <r>
      <t xml:space="preserve">4.  </t>
    </r>
    <r>
      <rPr>
        <sz val="10"/>
        <color rgb="FF231F20"/>
        <rFont val="Times New Roman"/>
        <family val="1"/>
      </rPr>
      <t>Escriba el total de personal dedicado a las actividades de extensión por antigüedad y sexo e indique cuántos de ellos presentan discapacidad.</t>
    </r>
  </si>
  <si>
    <r>
      <t xml:space="preserve">IMPORTANTE: </t>
    </r>
    <r>
      <rPr>
        <sz val="10"/>
        <color theme="1"/>
        <rFont val="Times New Roman"/>
        <family val="1"/>
      </rPr>
      <t>Firme y selle este cuestionario.</t>
    </r>
  </si>
  <si>
    <t>Sello</t>
  </si>
  <si>
    <t>Estadística de Educación Superior, por Escuela</t>
  </si>
  <si>
    <t>Identificación de la Escuela</t>
  </si>
  <si>
    <r>
      <t>Vialidad Principal</t>
    </r>
    <r>
      <rPr>
        <u/>
        <sz val="10"/>
        <color theme="1"/>
        <rFont val="Times New Roman"/>
        <family val="1"/>
      </rPr>
      <t/>
    </r>
  </si>
  <si>
    <t>Número Exterior</t>
  </si>
  <si>
    <t>Número Interior</t>
  </si>
  <si>
    <t>Vialidad Derecha</t>
  </si>
  <si>
    <t>Vialidad Izquierda</t>
  </si>
  <si>
    <r>
      <t xml:space="preserve">Vialidad Posterior </t>
    </r>
    <r>
      <rPr>
        <u/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</si>
  <si>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Asentamiento Humano</t>
  </si>
  <si>
    <r>
      <t xml:space="preserve">Municipio o Delegación </t>
    </r>
    <r>
      <rPr>
        <u/>
        <sz val="10"/>
        <color theme="1"/>
        <rFont val="Times New Roman"/>
        <family val="1"/>
      </rPr>
      <t xml:space="preserve"> </t>
    </r>
  </si>
  <si>
    <t>Los cuestionarios impresos son apoyos para contestar el cuestionario electrónico, o bien, para que los utilicen las instituciones que manifiestan estar en la imposibilidad de contestar el cuestionario electrónico.</t>
  </si>
  <si>
    <t>Estadística de Educación Superior por Institución                                 Ciclo Escolar, 2012-2013</t>
  </si>
  <si>
    <t xml:space="preserve">Técnico Superior* </t>
  </si>
  <si>
    <t>Licencia Profesional</t>
  </si>
  <si>
    <t>Licenciatura</t>
  </si>
  <si>
    <t>Con Discapacidad</t>
  </si>
  <si>
    <t>b) El personal reportado en este apartado corresponde a la suma del personal registrado en los cuestionarios 911.9 de facultades, escuelas, centros o departamentos.</t>
  </si>
  <si>
    <r>
      <t xml:space="preserve">Docente </t>
    </r>
    <r>
      <rPr>
        <b/>
        <sz val="10"/>
        <color theme="1"/>
        <rFont val="Times New Roman"/>
        <family val="1"/>
      </rPr>
      <t>(No incluya al personal de investigación)</t>
    </r>
  </si>
  <si>
    <t>Subsidio Federal</t>
  </si>
  <si>
    <t>Subsidio Estatal</t>
  </si>
  <si>
    <t>Ingresos Propios</t>
  </si>
  <si>
    <t>Investigación</t>
  </si>
  <si>
    <t>Administración</t>
  </si>
  <si>
    <r>
      <t xml:space="preserve">1. </t>
    </r>
    <r>
      <rPr>
        <sz val="10"/>
        <color rgb="FF231F20"/>
        <rFont val="Times New Roman"/>
        <family val="1"/>
      </rPr>
      <t xml:space="preserve">Escriba  por  tipo  de  investigación  el  número  de proyectos realizados en el </t>
    </r>
    <r>
      <rPr>
        <b/>
        <sz val="10"/>
        <color rgb="FF231F20"/>
        <rFont val="Times New Roman"/>
        <family val="1"/>
      </rPr>
      <t>ciclo escolar 2011-2012</t>
    </r>
    <r>
      <rPr>
        <sz val="10"/>
        <color rgb="FF231F20"/>
        <rFont val="Times New Roman"/>
        <family val="1"/>
      </rPr>
      <t>, o que continúan en proceso; de los que continúan en proceso, mencione cuántos se realizan en colaboración con instituciones o académicos extranjeros.</t>
    </r>
  </si>
  <si>
    <t>Terminados en el ciclo anterior</t>
  </si>
  <si>
    <t>Desarrollo Experimental</t>
  </si>
  <si>
    <t>Investigación Aplicada</t>
  </si>
  <si>
    <t>Investigación Básica</t>
  </si>
  <si>
    <t>Ciencias Sociales, Administración y Derecho</t>
  </si>
  <si>
    <t>Ciencias Naturales, Exactas y de la Computación</t>
  </si>
  <si>
    <t>Ingeniería, Manufactura y Construcción</t>
  </si>
  <si>
    <t>Agronomía y Veterinaria</t>
  </si>
  <si>
    <r>
      <t xml:space="preserve">1. </t>
    </r>
    <r>
      <rPr>
        <sz val="10"/>
        <color rgb="FF231F20"/>
        <rFont val="Times New Roman"/>
        <family val="1"/>
      </rPr>
      <t>Escriba,  de  acuerdo  con  la  función  que desempeñe,  el  número  de  personas  que laboran en los institutos, centros, divisiones o áreas de investigación, independientemente que se haya reportado en el módulo de docencia, desglóselo por sexo e indique cuántos de ellos presentan discapacidad.</t>
    </r>
  </si>
  <si>
    <r>
      <t xml:space="preserve">1. </t>
    </r>
    <r>
      <rPr>
        <sz val="10"/>
        <color rgb="FF231F20"/>
        <rFont val="Times New Roman"/>
        <family val="1"/>
      </rPr>
      <t>Escriba el número de investigadores, por tiempo de dedicación y nivel de estudios, desglóselo por sexo e indique cuántos de ellos presentan discapacidad.</t>
    </r>
  </si>
  <si>
    <t>Tiempo de Dedicación</t>
  </si>
  <si>
    <t>Docente Investigador</t>
  </si>
  <si>
    <t xml:space="preserve">Doctorado Maestría </t>
  </si>
  <si>
    <t>Especialidad</t>
  </si>
  <si>
    <r>
      <t xml:space="preserve">2. </t>
    </r>
    <r>
      <rPr>
        <sz val="10"/>
        <color rgb="FF231F20"/>
        <rFont val="Times New Roman"/>
        <family val="1"/>
      </rPr>
      <t>Escriba el número de investigadores, por rango de antigüedad y grupos de edad, desglóselo por sexo e indique cuántos de ellos presentan discapacidad.</t>
    </r>
  </si>
  <si>
    <t>De 10 a 14 años</t>
  </si>
  <si>
    <t>De 15 a 19 años</t>
  </si>
  <si>
    <t>De 20 a 24 años</t>
  </si>
  <si>
    <t>De 25 a 29 años</t>
  </si>
  <si>
    <t>Menos de 20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</si>
  <si>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</si>
  <si>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</si>
  <si>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</si>
  <si>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</si>
  <si>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</si>
  <si>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</si>
  <si>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64años</t>
  </si>
  <si>
    <t>Los cuestionarios impresos son apoyos para contestar el cuestionario electrónico, o bien, para que los utilicen las instituciones que manifiestan estar en la contestar el cuestionario electrónico.</t>
  </si>
  <si>
    <t>Módulo de Extención y Difusión</t>
  </si>
  <si>
    <r>
      <t xml:space="preserve">1. </t>
    </r>
    <r>
      <rPr>
        <sz val="10"/>
        <color rgb="FF231F20"/>
        <rFont val="Times New Roman"/>
        <family val="1"/>
      </rPr>
      <t>Escriba el número de títulos de las publicaciones para la divulgación de las ciencias y la tecnología, las artes y humanidades; y mencione cuántas de ellas son co-ediciones internacionales.</t>
    </r>
  </si>
  <si>
    <t>Libros</t>
  </si>
  <si>
    <t>Revistas</t>
  </si>
  <si>
    <t>Boletines</t>
  </si>
  <si>
    <t>Diplomados</t>
  </si>
  <si>
    <t>Cursos Cortos</t>
  </si>
  <si>
    <t>Talleres</t>
  </si>
  <si>
    <t>Seminarios</t>
  </si>
  <si>
    <t>Jurídica</t>
  </si>
  <si>
    <t>Vivienda</t>
  </si>
  <si>
    <t>Ecología</t>
  </si>
  <si>
    <t>Público</t>
  </si>
  <si>
    <t>Educativo (Propia Institución)</t>
  </si>
  <si>
    <t>Cursos</t>
  </si>
  <si>
    <t>Estancias</t>
  </si>
  <si>
    <t>De otras Instituciones del país</t>
  </si>
  <si>
    <t>A otras Instituciones del país</t>
  </si>
  <si>
    <t>Sector Público</t>
  </si>
  <si>
    <t>Microempresas</t>
  </si>
  <si>
    <t>Pequeñas empresas</t>
  </si>
  <si>
    <t>Medianas empresas</t>
  </si>
  <si>
    <t>Grandes empresas</t>
  </si>
  <si>
    <t>Investigación y Desarrollo</t>
  </si>
  <si>
    <t>Asesoría Técnica</t>
  </si>
  <si>
    <t>Prácticas Profesionales</t>
  </si>
  <si>
    <t>Educación Continua</t>
  </si>
  <si>
    <t>Servicio Social</t>
  </si>
  <si>
    <t xml:space="preserve">Posgrado </t>
  </si>
  <si>
    <t>De 25 años o más</t>
  </si>
  <si>
    <r>
      <t>Cuestionarios</t>
    </r>
    <r>
      <rPr>
        <b/>
        <i/>
        <sz val="28"/>
        <color theme="1"/>
        <rFont val="Times New Roman"/>
        <family val="1"/>
      </rPr>
      <t xml:space="preserve"> </t>
    </r>
    <r>
      <rPr>
        <b/>
        <i/>
        <shadow/>
        <sz val="28"/>
        <color theme="1"/>
        <rFont val="Times New Roman"/>
        <family val="1"/>
      </rPr>
      <t>Estadísticos</t>
    </r>
    <r>
      <rPr>
        <b/>
        <i/>
        <sz val="28"/>
        <color theme="1"/>
        <rFont val="Times New Roman"/>
        <family val="1"/>
      </rPr>
      <t xml:space="preserve"> </t>
    </r>
    <r>
      <rPr>
        <b/>
        <i/>
        <shadow/>
        <sz val="28"/>
        <color theme="1"/>
        <rFont val="Times New Roman"/>
        <family val="1"/>
      </rPr>
      <t>de</t>
    </r>
    <r>
      <rPr>
        <b/>
        <i/>
        <sz val="28"/>
        <color theme="1"/>
        <rFont val="Times New Roman"/>
        <family val="1"/>
      </rPr>
      <t xml:space="preserve"> </t>
    </r>
    <r>
      <rPr>
        <b/>
        <i/>
        <shadow/>
        <sz val="28"/>
        <color theme="1"/>
        <rFont val="Times New Roman"/>
        <family val="1"/>
      </rPr>
      <t>Educación</t>
    </r>
    <r>
      <rPr>
        <b/>
        <i/>
        <sz val="28"/>
        <color theme="1"/>
        <rFont val="Times New Roman"/>
        <family val="1"/>
      </rPr>
      <t xml:space="preserve"> </t>
    </r>
    <r>
      <rPr>
        <b/>
        <i/>
        <shadow/>
        <sz val="28"/>
        <color theme="1"/>
        <rFont val="Times New Roman"/>
        <family val="1"/>
      </rPr>
      <t>Superior</t>
    </r>
  </si>
  <si>
    <t>Observaciones</t>
  </si>
  <si>
    <t>Vialidad Principal</t>
  </si>
  <si>
    <t>Vialidad Posterior</t>
  </si>
  <si>
    <t>Localidad</t>
  </si>
  <si>
    <t>Municipio o Delegación</t>
  </si>
  <si>
    <t>Entidad Federativa</t>
  </si>
  <si>
    <t>Extensión Teléfono</t>
  </si>
  <si>
    <t>Extensión Fax</t>
  </si>
  <si>
    <t>Dependencia Normativa</t>
  </si>
  <si>
    <t>Nombre de la Institución a la que pertenece</t>
  </si>
  <si>
    <t>Nombre del Director de la Escuela</t>
  </si>
  <si>
    <t>Página Web de la Escuela</t>
  </si>
  <si>
    <t>Correo Electronico Responsable llenado</t>
  </si>
  <si>
    <t>H</t>
  </si>
  <si>
    <t>M</t>
  </si>
  <si>
    <t>CD</t>
  </si>
  <si>
    <t>15MSU0945E</t>
  </si>
  <si>
    <t>UNIVERSIDAD MEXIQUENSE DEL BICENTENARIO</t>
  </si>
  <si>
    <t>www.umb.mx</t>
  </si>
  <si>
    <t xml:space="preserve"> </t>
  </si>
  <si>
    <t>MÉXICO</t>
  </si>
  <si>
    <t>Personal en Areas Centrales Directivo</t>
  </si>
  <si>
    <t>Personal en Areas Centrales Administrativo</t>
  </si>
  <si>
    <t>Personal en Areas Centrales Otros</t>
  </si>
  <si>
    <t>Personal en UA Directivo</t>
  </si>
  <si>
    <t>Personal en UA Docente</t>
  </si>
  <si>
    <t>Personal en UA Docente Investigador</t>
  </si>
  <si>
    <t>Personal en UA Investigador</t>
  </si>
  <si>
    <t>Personal en UA Auxiliar de Investigador</t>
  </si>
  <si>
    <t>Personal en UA Administrativo</t>
  </si>
  <si>
    <t>Personal en UA Otros</t>
  </si>
  <si>
    <t>Intercambio Docencia</t>
  </si>
  <si>
    <t>Intercambio Estancias Sabaticas</t>
  </si>
  <si>
    <t xml:space="preserve"> Intercambio Estancias de Invest.</t>
  </si>
  <si>
    <t>Intercambio Congresos o  Even Acad.</t>
  </si>
  <si>
    <t>Intercambio Seminarios de Proyectos Conjuntos</t>
  </si>
  <si>
    <t>Inter. Seminarios de Proyectos Conjuntos</t>
  </si>
  <si>
    <t>Inter. Est. Tutoriales y Exám. Posgrado</t>
  </si>
  <si>
    <t>Subsidio estatal</t>
  </si>
  <si>
    <t>Egresos</t>
  </si>
  <si>
    <t>Centro de costo</t>
  </si>
  <si>
    <t>Comunicado</t>
  </si>
  <si>
    <t>Calendarizado</t>
  </si>
  <si>
    <t>Cuatrimestral</t>
  </si>
  <si>
    <t>Modificado</t>
  </si>
  <si>
    <t>Ejercido</t>
  </si>
  <si>
    <t>En trámite</t>
  </si>
  <si>
    <t>Disponible</t>
  </si>
  <si>
    <t>205BP00000 Universidad Mexiquense del Bicentenario</t>
  </si>
  <si>
    <t>205BP00001 Universidad Mexiquense del Bicentenario</t>
  </si>
  <si>
    <t>205BP00002 Unidad de Estudios Superiores de Tenango del Valle</t>
  </si>
  <si>
    <t>205BP00003 Unidad de Estudios Superiores de Coatepec Harinas</t>
  </si>
  <si>
    <t>205BP00004 Unidad de Estudios Superiores de Sultepec</t>
  </si>
  <si>
    <t>205BP00005 Unidad de Estudios Superiores de Almoloya de Alquisiras</t>
  </si>
  <si>
    <t>205BP00006 Unidad de Estudios Superiores de Temoaya</t>
  </si>
  <si>
    <t>205BP00007 Unidad de Estudios Superiores de San José del Rincón</t>
  </si>
  <si>
    <t>205BP00008 Unidad de Estudios Superiores de Atenco</t>
  </si>
  <si>
    <t>205BP00009 Unidad de Estudios Superiores de Tecámac</t>
  </si>
  <si>
    <t>205BP00010 Unidad de Estudios Superiores de La Paz</t>
  </si>
  <si>
    <t>205BP00011 Unidad de Estudios Superiores de Huixquilucan</t>
  </si>
  <si>
    <t>205BP00012 Unidad de Estudios Superiores de Morelos</t>
  </si>
  <si>
    <t>205BP00013 Unidad de Estudios Superiores de Jilotepec</t>
  </si>
  <si>
    <t>205BP00014 Unidad de Estudios Superiores de Acambay</t>
  </si>
  <si>
    <t>205BP00015 Unidad de Estudios Superiores de Lerma</t>
  </si>
  <si>
    <t>205BP00016 Unidad de Estudios Superiores de Xalatlaco</t>
  </si>
  <si>
    <t>205BP00017 Unidad de Estudios Superiores de Chalco</t>
  </si>
  <si>
    <t>205BP00018 Unidad de Estudios Superiores de Jiquipilco</t>
  </si>
  <si>
    <t>205BP00019 Unidad de Estudios Superiores de Ixtlahuaca</t>
  </si>
  <si>
    <t>205BP00020 Unidad de Estudios Superiores de Tejupilco</t>
  </si>
  <si>
    <t>205BP00021 Unidad de Estudios Superiores de Tlatlaya</t>
  </si>
  <si>
    <t>205BP00022 Unidad de Estudios Superiores de Villa Victoria</t>
  </si>
  <si>
    <t>205BP00023 Unidad de Estudios Superiores de Tultitlán</t>
  </si>
  <si>
    <t>205BP00024 Unidad de Estudios Superiores de Ecatepec</t>
  </si>
  <si>
    <t>205BP00025 Unidad de Estudios Superiores de Ixtapaluca</t>
  </si>
  <si>
    <t>205BP00026 Unidad de Estudios Superiores de Temascalcingo</t>
  </si>
  <si>
    <t>205BP00027 Unidad de Estudios Superiores de Tepotzotlán</t>
  </si>
  <si>
    <t>205BP00028 Centro de Formación y Desarrollo de Nutrición</t>
  </si>
  <si>
    <t>Total sector auxiliar</t>
  </si>
  <si>
    <t>T o t a l</t>
  </si>
  <si>
    <t>Servicio</t>
  </si>
  <si>
    <t>Sostenimiento</t>
  </si>
  <si>
    <t>Nombre del Rector o Director de la Institución</t>
  </si>
  <si>
    <t xml:space="preserve">Página web de la Institución: </t>
  </si>
  <si>
    <t>Correo Electrónico del Responsable de llenado:</t>
  </si>
  <si>
    <t>Nombre de la Institución</t>
  </si>
  <si>
    <t>CARR. MEXICO TOLUCA</t>
  </si>
  <si>
    <t xml:space="preserve">SAN MIGUEL </t>
  </si>
  <si>
    <t>OCOYOACAC</t>
  </si>
  <si>
    <t>SECRETARIA DE EDUCACIÓN</t>
  </si>
  <si>
    <t>SERVICIO</t>
  </si>
  <si>
    <t>SOSTENIMIENTO</t>
  </si>
  <si>
    <t>MTRO. URIEL GALICIA HERNANDEZ</t>
  </si>
  <si>
    <t>asesor.planeacion@umb.mx</t>
  </si>
  <si>
    <t>JUAN DE DIOS PEZA</t>
  </si>
  <si>
    <t>EDUCACIÓN SUPERIOR</t>
  </si>
  <si>
    <t>ORGANISMO DESCENTRALIZADO</t>
  </si>
  <si>
    <t>Conferencias</t>
  </si>
  <si>
    <t>Exhibiciones</t>
  </si>
  <si>
    <t>Exposiciones</t>
  </si>
  <si>
    <t>Eventos Culturales y Artísticos</t>
  </si>
  <si>
    <t>Eventos Deportivos</t>
  </si>
  <si>
    <t>Servicios a la Comunidad</t>
  </si>
  <si>
    <t>Especifique</t>
  </si>
  <si>
    <t>Servicio Social Educativo</t>
  </si>
  <si>
    <t>Servicio Social Público</t>
  </si>
  <si>
    <t>Servicio Social Privado</t>
  </si>
  <si>
    <t>Servicio Social social</t>
  </si>
  <si>
    <t>Prácticas Social Educativo</t>
  </si>
  <si>
    <t>Prácticas  Público</t>
  </si>
  <si>
    <t>Prácticas Social Privado</t>
  </si>
  <si>
    <t>Prácticas Social</t>
  </si>
  <si>
    <t>Intercambio Extranjero</t>
  </si>
  <si>
    <t>Intercambio otras instituciones del país</t>
  </si>
  <si>
    <t>Intercambio del Extranjero</t>
  </si>
  <si>
    <t>Intercambio de otras instituciones del país</t>
  </si>
  <si>
    <t>BARRIO</t>
  </si>
  <si>
    <t>Investigación y desarrollo</t>
  </si>
  <si>
    <t>Proyectos de vinculación (Sector Público)</t>
  </si>
  <si>
    <t>Proyectos de vinculación (Microempresas)</t>
  </si>
  <si>
    <t>Proyectos de vinculación (Pequeñas empresas)</t>
  </si>
  <si>
    <t>Proyectos de vinculación (Medianas empresas)</t>
  </si>
  <si>
    <t>Proyectos de vinculación (Grandes empresas)</t>
  </si>
  <si>
    <t>Personal dedicados a las actividades de extensión</t>
  </si>
  <si>
    <t>Tiempo Completo H</t>
  </si>
  <si>
    <t>Tiempo Completo M</t>
  </si>
  <si>
    <t>Tiempo Completo CD</t>
  </si>
  <si>
    <t>Medio Tiempo H</t>
  </si>
  <si>
    <t>Medio Tiempo M</t>
  </si>
  <si>
    <t>Medio Tiempo CD</t>
  </si>
  <si>
    <t>Por Horas H</t>
  </si>
  <si>
    <t>Por Horas M</t>
  </si>
  <si>
    <t>Por Horas CD</t>
  </si>
  <si>
    <t>NE Posgrado H</t>
  </si>
  <si>
    <t>NE Posgrado M</t>
  </si>
  <si>
    <t>NE Posgrado CD</t>
  </si>
  <si>
    <t>NE Licenciatura H</t>
  </si>
  <si>
    <t>NE Licenciatura M</t>
  </si>
  <si>
    <t>NE Licenciatura CD</t>
  </si>
  <si>
    <t>NE Otros H</t>
  </si>
  <si>
    <t>NE Otros M</t>
  </si>
  <si>
    <t>NE Otros CD</t>
  </si>
  <si>
    <t>Antiguedad de 0 a 4 años H</t>
  </si>
  <si>
    <t>Antiguedad de 0 a 4 años M</t>
  </si>
  <si>
    <t>Antiguedad de 0 a 4 años CD</t>
  </si>
  <si>
    <t>NINGUNO</t>
  </si>
  <si>
    <t>Nombre y firma del Rector</t>
  </si>
  <si>
    <t>M. en A. URIEL GALICIA HERNÁDEZ</t>
  </si>
  <si>
    <t>LIC. JUAN JOSÉ OLIN FABELA</t>
  </si>
  <si>
    <r>
      <t>Octubre,</t>
    </r>
    <r>
      <rPr>
        <b/>
        <i/>
        <sz val="18"/>
        <color rgb="FFE5E5E5"/>
        <rFont val="Times New Roman"/>
        <family val="1"/>
      </rPr>
      <t xml:space="preserve"> </t>
    </r>
    <r>
      <rPr>
        <b/>
        <i/>
        <sz val="18"/>
        <color rgb="FF808080"/>
        <rFont val="Times New Roman"/>
        <family val="1"/>
      </rPr>
      <t>2012</t>
    </r>
  </si>
  <si>
    <t>KM 43.5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</si>
</sst>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8"/>
      <color rgb="FF808080"/>
      <name val="Times New Roman"/>
      <family val="1"/>
    </font>
    <font>
      <b/>
      <i/>
      <sz val="18"/>
      <color rgb="FFE5E5E5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5"/>
      <color theme="1"/>
      <name val="Times New Roman"/>
      <family val="1"/>
    </font>
    <font>
      <sz val="7.5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Calibri"/>
      <family val="2"/>
      <scheme val="minor"/>
    </font>
    <font>
      <u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2"/>
      <color rgb="FF231F20"/>
      <name val="Times New Roman"/>
      <family val="1"/>
    </font>
    <font>
      <sz val="10"/>
      <color rgb="FF231F20"/>
      <name val="Times New Roman"/>
      <family val="1"/>
    </font>
    <font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2"/>
      <color theme="1"/>
      <name val="Times New Roman"/>
      <family val="1"/>
    </font>
    <font>
      <sz val="9"/>
      <color rgb="FF231F20"/>
      <name val="Times New Roman"/>
      <family val="1"/>
    </font>
    <font>
      <b/>
      <i/>
      <shadow/>
      <sz val="28"/>
      <color theme="1"/>
      <name val="Times New Roman"/>
      <family val="1"/>
    </font>
    <font>
      <b/>
      <i/>
      <sz val="28"/>
      <color theme="1"/>
      <name val="Times New Roman"/>
      <family val="1"/>
    </font>
    <font>
      <b/>
      <i/>
      <sz val="28"/>
      <name val="Times New Roman"/>
      <family val="1"/>
    </font>
    <font>
      <b/>
      <sz val="9"/>
      <color theme="1"/>
      <name val="Times New Roman"/>
      <family val="1"/>
    </font>
    <font>
      <b/>
      <sz val="9"/>
      <color rgb="FF231F20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7" fillId="0" borderId="0" applyNumberFormat="0" applyFill="0" applyBorder="0" applyAlignment="0" applyProtection="0"/>
    <xf numFmtId="43" fontId="40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 indent="15"/>
    </xf>
    <xf numFmtId="0" fontId="29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0" fontId="0" fillId="0" borderId="8" xfId="0" applyBorder="1"/>
    <xf numFmtId="0" fontId="15" fillId="0" borderId="0" xfId="0" applyFont="1" applyBorder="1" applyAlignment="1">
      <alignment horizontal="justify" vertical="center"/>
    </xf>
    <xf numFmtId="0" fontId="0" fillId="0" borderId="9" xfId="0" applyBorder="1"/>
    <xf numFmtId="0" fontId="0" fillId="0" borderId="11" xfId="0" applyBorder="1"/>
    <xf numFmtId="0" fontId="15" fillId="0" borderId="0" xfId="0" applyFont="1" applyBorder="1" applyAlignment="1">
      <alignment horizontal="left" vertical="top" wrapText="1"/>
    </xf>
    <xf numFmtId="0" fontId="0" fillId="0" borderId="12" xfId="0" applyBorder="1"/>
    <xf numFmtId="0" fontId="15" fillId="0" borderId="13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15" fillId="0" borderId="0" xfId="0" applyFont="1" applyAlignment="1">
      <alignment horizontal="left" vertical="center"/>
    </xf>
    <xf numFmtId="2" fontId="7" fillId="0" borderId="2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4" xfId="0" applyFont="1" applyBorder="1" applyAlignment="1">
      <alignment horizontal="left" vertical="center" indent="2"/>
    </xf>
    <xf numFmtId="0" fontId="0" fillId="0" borderId="1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9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8" fillId="0" borderId="4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top" wrapText="1"/>
    </xf>
    <xf numFmtId="0" fontId="14" fillId="2" borderId="0" xfId="0" applyFont="1" applyFill="1" applyBorder="1" applyAlignment="1">
      <alignment vertical="center"/>
    </xf>
    <xf numFmtId="0" fontId="0" fillId="2" borderId="0" xfId="0" applyFill="1" applyBorder="1"/>
    <xf numFmtId="0" fontId="29" fillId="0" borderId="0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15" fillId="3" borderId="0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justify" vertical="center"/>
    </xf>
    <xf numFmtId="0" fontId="19" fillId="0" borderId="0" xfId="0" applyFont="1" applyBorder="1" applyAlignment="1">
      <alignment vertical="center"/>
    </xf>
    <xf numFmtId="0" fontId="7" fillId="0" borderId="4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2"/>
    </xf>
    <xf numFmtId="0" fontId="14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justify" vertical="center"/>
    </xf>
    <xf numFmtId="0" fontId="15" fillId="0" borderId="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0" fillId="0" borderId="4" xfId="0" applyFont="1" applyBorder="1" applyAlignment="1">
      <alignment horizontal="left" vertical="center" indent="15"/>
    </xf>
    <xf numFmtId="0" fontId="7" fillId="0" borderId="4" xfId="0" applyFont="1" applyBorder="1" applyAlignment="1">
      <alignment horizontal="left" vertical="center" indent="9"/>
    </xf>
    <xf numFmtId="0" fontId="13" fillId="0" borderId="4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indent="15"/>
    </xf>
    <xf numFmtId="0" fontId="7" fillId="0" borderId="0" xfId="0" applyFont="1" applyBorder="1" applyAlignment="1">
      <alignment horizontal="left" vertical="top" wrapText="1"/>
    </xf>
    <xf numFmtId="0" fontId="28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15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8" fillId="0" borderId="0" xfId="0" applyFont="1" applyBorder="1"/>
    <xf numFmtId="0" fontId="31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top"/>
    </xf>
    <xf numFmtId="0" fontId="10" fillId="3" borderId="5" xfId="0" applyFont="1" applyFill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/>
    <xf numFmtId="0" fontId="38" fillId="0" borderId="0" xfId="1" applyFont="1"/>
    <xf numFmtId="0" fontId="0" fillId="0" borderId="8" xfId="0" applyBorder="1" applyAlignment="1">
      <alignment vertical="center"/>
    </xf>
    <xf numFmtId="0" fontId="0" fillId="0" borderId="7" xfId="0" applyBorder="1" applyAlignment="1"/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/>
    <xf numFmtId="0" fontId="0" fillId="0" borderId="8" xfId="0" applyBorder="1" applyAlignment="1"/>
    <xf numFmtId="0" fontId="0" fillId="0" borderId="10" xfId="0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 applyBorder="1" applyAlignment="1">
      <alignment vertical="center" wrapText="1"/>
    </xf>
    <xf numFmtId="0" fontId="28" fillId="0" borderId="0" xfId="0" applyFont="1"/>
    <xf numFmtId="4" fontId="28" fillId="0" borderId="0" xfId="0" applyNumberFormat="1" applyFont="1"/>
    <xf numFmtId="0" fontId="28" fillId="0" borderId="0" xfId="0" applyFont="1" applyAlignment="1">
      <alignment horizontal="center" vertical="center"/>
    </xf>
    <xf numFmtId="0" fontId="39" fillId="0" borderId="0" xfId="0" applyFont="1"/>
    <xf numFmtId="4" fontId="39" fillId="0" borderId="0" xfId="0" applyNumberFormat="1" applyFont="1"/>
    <xf numFmtId="43" fontId="18" fillId="0" borderId="0" xfId="2" applyFont="1"/>
    <xf numFmtId="164" fontId="0" fillId="0" borderId="8" xfId="2" applyNumberFormat="1" applyFont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3" fontId="0" fillId="0" borderId="0" xfId="0" applyNumberFormat="1" applyBorder="1"/>
    <xf numFmtId="3" fontId="0" fillId="0" borderId="1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39</xdr:row>
      <xdr:rowOff>47625</xdr:rowOff>
    </xdr:from>
    <xdr:to>
      <xdr:col>7</xdr:col>
      <xdr:colOff>210820</xdr:colOff>
      <xdr:row>39</xdr:row>
      <xdr:rowOff>81915</xdr:rowOff>
    </xdr:to>
    <xdr:grpSp>
      <xdr:nvGrpSpPr>
        <xdr:cNvPr id="2653" name="Group 2699"/>
        <xdr:cNvGrpSpPr>
          <a:grpSpLocks/>
        </xdr:cNvGrpSpPr>
      </xdr:nvGrpSpPr>
      <xdr:grpSpPr bwMode="auto">
        <a:xfrm>
          <a:off x="3667125" y="8172450"/>
          <a:ext cx="39370" cy="34290"/>
          <a:chOff x="1149" y="1320"/>
          <a:chExt cx="62" cy="54"/>
        </a:xfrm>
      </xdr:grpSpPr>
      <xdr:sp macro="" textlink="">
        <xdr:nvSpPr>
          <xdr:cNvPr id="2654" name="Freeform 2700"/>
          <xdr:cNvSpPr>
            <a:spLocks/>
          </xdr:cNvSpPr>
        </xdr:nvSpPr>
        <xdr:spPr bwMode="auto">
          <a:xfrm>
            <a:off x="1149" y="1320"/>
            <a:ext cx="62" cy="54"/>
          </a:xfrm>
          <a:custGeom>
            <a:avLst/>
            <a:gdLst>
              <a:gd name="T0" fmla="+- 0 1179 1149"/>
              <a:gd name="T1" fmla="*/ T0 w 62"/>
              <a:gd name="T2" fmla="+- 0 1320 1320"/>
              <a:gd name="T3" fmla="*/ 1320 h 54"/>
              <a:gd name="T4" fmla="+- 0 1158 1149"/>
              <a:gd name="T5" fmla="*/ T4 w 62"/>
              <a:gd name="T6" fmla="+- 0 1329 1320"/>
              <a:gd name="T7" fmla="*/ 1329 h 54"/>
              <a:gd name="T8" fmla="+- 0 1149 1149"/>
              <a:gd name="T9" fmla="*/ T8 w 62"/>
              <a:gd name="T10" fmla="+- 0 1347 1320"/>
              <a:gd name="T11" fmla="*/ 1347 h 54"/>
              <a:gd name="T12" fmla="+- 0 1149 1149"/>
              <a:gd name="T13" fmla="*/ T12 w 62"/>
              <a:gd name="T14" fmla="+- 0 1352 1320"/>
              <a:gd name="T15" fmla="*/ 1352 h 54"/>
              <a:gd name="T16" fmla="+- 0 1161 1149"/>
              <a:gd name="T17" fmla="*/ T16 w 62"/>
              <a:gd name="T18" fmla="+- 0 1368 1320"/>
              <a:gd name="T19" fmla="*/ 1368 h 54"/>
              <a:gd name="T20" fmla="+- 0 1184 1149"/>
              <a:gd name="T21" fmla="*/ T20 w 62"/>
              <a:gd name="T22" fmla="+- 0 1374 1320"/>
              <a:gd name="T23" fmla="*/ 1374 h 54"/>
              <a:gd name="T24" fmla="+- 0 1204 1149"/>
              <a:gd name="T25" fmla="*/ T24 w 62"/>
              <a:gd name="T26" fmla="+- 0 1365 1320"/>
              <a:gd name="T27" fmla="*/ 1365 h 54"/>
              <a:gd name="T28" fmla="+- 0 1211 1149"/>
              <a:gd name="T29" fmla="*/ T28 w 62"/>
              <a:gd name="T30" fmla="+- 0 1345 1320"/>
              <a:gd name="T31" fmla="*/ 1345 h 54"/>
              <a:gd name="T32" fmla="+- 0 1201 1149"/>
              <a:gd name="T33" fmla="*/ T32 w 62"/>
              <a:gd name="T34" fmla="+- 0 1327 1320"/>
              <a:gd name="T35" fmla="*/ 1327 h 54"/>
              <a:gd name="T36" fmla="+- 0 1179 1149"/>
              <a:gd name="T37" fmla="*/ T36 w 62"/>
              <a:gd name="T38" fmla="+- 0 1320 1320"/>
              <a:gd name="T39" fmla="*/ 1320 h 5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</a:cxnLst>
            <a:rect l="0" t="0" r="r" b="b"/>
            <a:pathLst>
              <a:path w="62" h="54">
                <a:moveTo>
                  <a:pt x="30" y="0"/>
                </a:moveTo>
                <a:lnTo>
                  <a:pt x="9" y="9"/>
                </a:lnTo>
                <a:lnTo>
                  <a:pt x="0" y="27"/>
                </a:lnTo>
                <a:lnTo>
                  <a:pt x="0" y="32"/>
                </a:lnTo>
                <a:lnTo>
                  <a:pt x="12" y="48"/>
                </a:lnTo>
                <a:lnTo>
                  <a:pt x="35" y="54"/>
                </a:lnTo>
                <a:lnTo>
                  <a:pt x="55" y="45"/>
                </a:lnTo>
                <a:lnTo>
                  <a:pt x="62" y="25"/>
                </a:lnTo>
                <a:lnTo>
                  <a:pt x="52" y="7"/>
                </a:lnTo>
                <a:lnTo>
                  <a:pt x="30" y="0"/>
                </a:ln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7</xdr:col>
      <xdr:colOff>171450</xdr:colOff>
      <xdr:row>39</xdr:row>
      <xdr:rowOff>9525</xdr:rowOff>
    </xdr:from>
    <xdr:to>
      <xdr:col>7</xdr:col>
      <xdr:colOff>210820</xdr:colOff>
      <xdr:row>39</xdr:row>
      <xdr:rowOff>43815</xdr:rowOff>
    </xdr:to>
    <xdr:grpSp>
      <xdr:nvGrpSpPr>
        <xdr:cNvPr id="2655" name="Group 2697"/>
        <xdr:cNvGrpSpPr>
          <a:grpSpLocks/>
        </xdr:cNvGrpSpPr>
      </xdr:nvGrpSpPr>
      <xdr:grpSpPr bwMode="auto">
        <a:xfrm>
          <a:off x="3667125" y="8134350"/>
          <a:ext cx="39370" cy="34290"/>
          <a:chOff x="1149" y="1260"/>
          <a:chExt cx="62" cy="54"/>
        </a:xfrm>
      </xdr:grpSpPr>
      <xdr:sp macro="" textlink="">
        <xdr:nvSpPr>
          <xdr:cNvPr id="2656" name="Freeform 2698"/>
          <xdr:cNvSpPr>
            <a:spLocks/>
          </xdr:cNvSpPr>
        </xdr:nvSpPr>
        <xdr:spPr bwMode="auto">
          <a:xfrm>
            <a:off x="1149" y="1260"/>
            <a:ext cx="62" cy="54"/>
          </a:xfrm>
          <a:custGeom>
            <a:avLst/>
            <a:gdLst>
              <a:gd name="T0" fmla="+- 0 1179 1149"/>
              <a:gd name="T1" fmla="*/ T0 w 62"/>
              <a:gd name="T2" fmla="+- 0 1260 1260"/>
              <a:gd name="T3" fmla="*/ 1260 h 54"/>
              <a:gd name="T4" fmla="+- 0 1158 1149"/>
              <a:gd name="T5" fmla="*/ T4 w 62"/>
              <a:gd name="T6" fmla="+- 0 1268 1260"/>
              <a:gd name="T7" fmla="*/ 1268 h 54"/>
              <a:gd name="T8" fmla="+- 0 1149 1149"/>
              <a:gd name="T9" fmla="*/ T8 w 62"/>
              <a:gd name="T10" fmla="+- 0 1287 1260"/>
              <a:gd name="T11" fmla="*/ 1287 h 54"/>
              <a:gd name="T12" fmla="+- 0 1149 1149"/>
              <a:gd name="T13" fmla="*/ T12 w 62"/>
              <a:gd name="T14" fmla="+- 0 1291 1260"/>
              <a:gd name="T15" fmla="*/ 1291 h 54"/>
              <a:gd name="T16" fmla="+- 0 1161 1149"/>
              <a:gd name="T17" fmla="*/ T16 w 62"/>
              <a:gd name="T18" fmla="+- 0 1307 1260"/>
              <a:gd name="T19" fmla="*/ 1307 h 54"/>
              <a:gd name="T20" fmla="+- 0 1184 1149"/>
              <a:gd name="T21" fmla="*/ T20 w 62"/>
              <a:gd name="T22" fmla="+- 0 1314 1260"/>
              <a:gd name="T23" fmla="*/ 1314 h 54"/>
              <a:gd name="T24" fmla="+- 0 1204 1149"/>
              <a:gd name="T25" fmla="*/ T24 w 62"/>
              <a:gd name="T26" fmla="+- 0 1304 1260"/>
              <a:gd name="T27" fmla="*/ 1304 h 54"/>
              <a:gd name="T28" fmla="+- 0 1211 1149"/>
              <a:gd name="T29" fmla="*/ T28 w 62"/>
              <a:gd name="T30" fmla="+- 0 1284 1260"/>
              <a:gd name="T31" fmla="*/ 1284 h 54"/>
              <a:gd name="T32" fmla="+- 0 1201 1149"/>
              <a:gd name="T33" fmla="*/ T32 w 62"/>
              <a:gd name="T34" fmla="+- 0 1267 1260"/>
              <a:gd name="T35" fmla="*/ 1267 h 54"/>
              <a:gd name="T36" fmla="+- 0 1179 1149"/>
              <a:gd name="T37" fmla="*/ T36 w 62"/>
              <a:gd name="T38" fmla="+- 0 1260 1260"/>
              <a:gd name="T39" fmla="*/ 1260 h 5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</a:cxnLst>
            <a:rect l="0" t="0" r="r" b="b"/>
            <a:pathLst>
              <a:path w="62" h="54">
                <a:moveTo>
                  <a:pt x="30" y="0"/>
                </a:moveTo>
                <a:lnTo>
                  <a:pt x="9" y="8"/>
                </a:lnTo>
                <a:lnTo>
                  <a:pt x="0" y="27"/>
                </a:lnTo>
                <a:lnTo>
                  <a:pt x="0" y="31"/>
                </a:lnTo>
                <a:lnTo>
                  <a:pt x="12" y="47"/>
                </a:lnTo>
                <a:lnTo>
                  <a:pt x="35" y="54"/>
                </a:lnTo>
                <a:lnTo>
                  <a:pt x="55" y="44"/>
                </a:lnTo>
                <a:lnTo>
                  <a:pt x="62" y="24"/>
                </a:lnTo>
                <a:lnTo>
                  <a:pt x="52" y="7"/>
                </a:lnTo>
                <a:lnTo>
                  <a:pt x="30" y="0"/>
                </a:ln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104775</xdr:colOff>
      <xdr:row>36</xdr:row>
      <xdr:rowOff>104775</xdr:rowOff>
    </xdr:from>
    <xdr:to>
      <xdr:col>4</xdr:col>
      <xdr:colOff>161925</xdr:colOff>
      <xdr:row>40</xdr:row>
      <xdr:rowOff>219075</xdr:rowOff>
    </xdr:to>
    <xdr:grpSp>
      <xdr:nvGrpSpPr>
        <xdr:cNvPr id="2" name="1 Grupo"/>
        <xdr:cNvGrpSpPr/>
      </xdr:nvGrpSpPr>
      <xdr:grpSpPr>
        <a:xfrm>
          <a:off x="257175" y="7534275"/>
          <a:ext cx="1771650" cy="1009650"/>
          <a:chOff x="257175" y="7534275"/>
          <a:chExt cx="1771650" cy="1009650"/>
        </a:xfrm>
      </xdr:grpSpPr>
      <xdr:pic>
        <xdr:nvPicPr>
          <xdr:cNvPr id="2658" name="2657 Imagen" descr="http://www.cecytpue.edu.mx/Noticias/images/inegi2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175" y="7534275"/>
            <a:ext cx="1379928" cy="1009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659" name="2658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2591" y="7765801"/>
            <a:ext cx="436234" cy="616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13</xdr:col>
      <xdr:colOff>304800</xdr:colOff>
      <xdr:row>37</xdr:row>
      <xdr:rowOff>118718</xdr:rowOff>
    </xdr:from>
    <xdr:to>
      <xdr:col>14</xdr:col>
      <xdr:colOff>699136</xdr:colOff>
      <xdr:row>40</xdr:row>
      <xdr:rowOff>63571</xdr:rowOff>
    </xdr:to>
    <xdr:pic>
      <xdr:nvPicPr>
        <xdr:cNvPr id="2660" name="2659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518768"/>
          <a:ext cx="1156336" cy="640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</xdr:colOff>
      <xdr:row>36</xdr:row>
      <xdr:rowOff>142875</xdr:rowOff>
    </xdr:from>
    <xdr:to>
      <xdr:col>11</xdr:col>
      <xdr:colOff>733425</xdr:colOff>
      <xdr:row>39</xdr:row>
      <xdr:rowOff>114300</xdr:rowOff>
    </xdr:to>
    <xdr:sp macro="" textlink="">
      <xdr:nvSpPr>
        <xdr:cNvPr id="2661" name="2660 Rectángulo redondeado"/>
        <xdr:cNvSpPr/>
      </xdr:nvSpPr>
      <xdr:spPr>
        <a:xfrm>
          <a:off x="2933700" y="342900"/>
          <a:ext cx="4524375" cy="6667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171450</xdr:colOff>
      <xdr:row>180</xdr:row>
      <xdr:rowOff>47625</xdr:rowOff>
    </xdr:from>
    <xdr:to>
      <xdr:col>7</xdr:col>
      <xdr:colOff>210820</xdr:colOff>
      <xdr:row>180</xdr:row>
      <xdr:rowOff>81915</xdr:rowOff>
    </xdr:to>
    <xdr:grpSp>
      <xdr:nvGrpSpPr>
        <xdr:cNvPr id="2671" name="Group 2699"/>
        <xdr:cNvGrpSpPr>
          <a:grpSpLocks/>
        </xdr:cNvGrpSpPr>
      </xdr:nvGrpSpPr>
      <xdr:grpSpPr bwMode="auto">
        <a:xfrm>
          <a:off x="3667125" y="37595175"/>
          <a:ext cx="39370" cy="34290"/>
          <a:chOff x="1149" y="1320"/>
          <a:chExt cx="62" cy="54"/>
        </a:xfrm>
      </xdr:grpSpPr>
      <xdr:sp macro="" textlink="">
        <xdr:nvSpPr>
          <xdr:cNvPr id="2672" name="Freeform 2700"/>
          <xdr:cNvSpPr>
            <a:spLocks/>
          </xdr:cNvSpPr>
        </xdr:nvSpPr>
        <xdr:spPr bwMode="auto">
          <a:xfrm>
            <a:off x="1149" y="1320"/>
            <a:ext cx="62" cy="54"/>
          </a:xfrm>
          <a:custGeom>
            <a:avLst/>
            <a:gdLst>
              <a:gd name="T0" fmla="+- 0 1179 1149"/>
              <a:gd name="T1" fmla="*/ T0 w 62"/>
              <a:gd name="T2" fmla="+- 0 1320 1320"/>
              <a:gd name="T3" fmla="*/ 1320 h 54"/>
              <a:gd name="T4" fmla="+- 0 1158 1149"/>
              <a:gd name="T5" fmla="*/ T4 w 62"/>
              <a:gd name="T6" fmla="+- 0 1329 1320"/>
              <a:gd name="T7" fmla="*/ 1329 h 54"/>
              <a:gd name="T8" fmla="+- 0 1149 1149"/>
              <a:gd name="T9" fmla="*/ T8 w 62"/>
              <a:gd name="T10" fmla="+- 0 1347 1320"/>
              <a:gd name="T11" fmla="*/ 1347 h 54"/>
              <a:gd name="T12" fmla="+- 0 1149 1149"/>
              <a:gd name="T13" fmla="*/ T12 w 62"/>
              <a:gd name="T14" fmla="+- 0 1352 1320"/>
              <a:gd name="T15" fmla="*/ 1352 h 54"/>
              <a:gd name="T16" fmla="+- 0 1161 1149"/>
              <a:gd name="T17" fmla="*/ T16 w 62"/>
              <a:gd name="T18" fmla="+- 0 1368 1320"/>
              <a:gd name="T19" fmla="*/ 1368 h 54"/>
              <a:gd name="T20" fmla="+- 0 1184 1149"/>
              <a:gd name="T21" fmla="*/ T20 w 62"/>
              <a:gd name="T22" fmla="+- 0 1374 1320"/>
              <a:gd name="T23" fmla="*/ 1374 h 54"/>
              <a:gd name="T24" fmla="+- 0 1204 1149"/>
              <a:gd name="T25" fmla="*/ T24 w 62"/>
              <a:gd name="T26" fmla="+- 0 1365 1320"/>
              <a:gd name="T27" fmla="*/ 1365 h 54"/>
              <a:gd name="T28" fmla="+- 0 1211 1149"/>
              <a:gd name="T29" fmla="*/ T28 w 62"/>
              <a:gd name="T30" fmla="+- 0 1345 1320"/>
              <a:gd name="T31" fmla="*/ 1345 h 54"/>
              <a:gd name="T32" fmla="+- 0 1201 1149"/>
              <a:gd name="T33" fmla="*/ T32 w 62"/>
              <a:gd name="T34" fmla="+- 0 1327 1320"/>
              <a:gd name="T35" fmla="*/ 1327 h 54"/>
              <a:gd name="T36" fmla="+- 0 1179 1149"/>
              <a:gd name="T37" fmla="*/ T36 w 62"/>
              <a:gd name="T38" fmla="+- 0 1320 1320"/>
              <a:gd name="T39" fmla="*/ 1320 h 5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</a:cxnLst>
            <a:rect l="0" t="0" r="r" b="b"/>
            <a:pathLst>
              <a:path w="62" h="54">
                <a:moveTo>
                  <a:pt x="30" y="0"/>
                </a:moveTo>
                <a:lnTo>
                  <a:pt x="9" y="9"/>
                </a:lnTo>
                <a:lnTo>
                  <a:pt x="0" y="27"/>
                </a:lnTo>
                <a:lnTo>
                  <a:pt x="0" y="32"/>
                </a:lnTo>
                <a:lnTo>
                  <a:pt x="12" y="48"/>
                </a:lnTo>
                <a:lnTo>
                  <a:pt x="35" y="54"/>
                </a:lnTo>
                <a:lnTo>
                  <a:pt x="55" y="45"/>
                </a:lnTo>
                <a:lnTo>
                  <a:pt x="62" y="25"/>
                </a:lnTo>
                <a:lnTo>
                  <a:pt x="52" y="7"/>
                </a:lnTo>
                <a:lnTo>
                  <a:pt x="30" y="0"/>
                </a:ln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7</xdr:col>
      <xdr:colOff>171450</xdr:colOff>
      <xdr:row>180</xdr:row>
      <xdr:rowOff>9525</xdr:rowOff>
    </xdr:from>
    <xdr:to>
      <xdr:col>7</xdr:col>
      <xdr:colOff>210820</xdr:colOff>
      <xdr:row>180</xdr:row>
      <xdr:rowOff>43815</xdr:rowOff>
    </xdr:to>
    <xdr:grpSp>
      <xdr:nvGrpSpPr>
        <xdr:cNvPr id="2673" name="Group 2697"/>
        <xdr:cNvGrpSpPr>
          <a:grpSpLocks/>
        </xdr:cNvGrpSpPr>
      </xdr:nvGrpSpPr>
      <xdr:grpSpPr bwMode="auto">
        <a:xfrm>
          <a:off x="3667125" y="37557075"/>
          <a:ext cx="39370" cy="34290"/>
          <a:chOff x="1149" y="1260"/>
          <a:chExt cx="62" cy="54"/>
        </a:xfrm>
      </xdr:grpSpPr>
      <xdr:sp macro="" textlink="">
        <xdr:nvSpPr>
          <xdr:cNvPr id="2674" name="Freeform 2698"/>
          <xdr:cNvSpPr>
            <a:spLocks/>
          </xdr:cNvSpPr>
        </xdr:nvSpPr>
        <xdr:spPr bwMode="auto">
          <a:xfrm>
            <a:off x="1149" y="1260"/>
            <a:ext cx="62" cy="54"/>
          </a:xfrm>
          <a:custGeom>
            <a:avLst/>
            <a:gdLst>
              <a:gd name="T0" fmla="+- 0 1179 1149"/>
              <a:gd name="T1" fmla="*/ T0 w 62"/>
              <a:gd name="T2" fmla="+- 0 1260 1260"/>
              <a:gd name="T3" fmla="*/ 1260 h 54"/>
              <a:gd name="T4" fmla="+- 0 1158 1149"/>
              <a:gd name="T5" fmla="*/ T4 w 62"/>
              <a:gd name="T6" fmla="+- 0 1268 1260"/>
              <a:gd name="T7" fmla="*/ 1268 h 54"/>
              <a:gd name="T8" fmla="+- 0 1149 1149"/>
              <a:gd name="T9" fmla="*/ T8 w 62"/>
              <a:gd name="T10" fmla="+- 0 1287 1260"/>
              <a:gd name="T11" fmla="*/ 1287 h 54"/>
              <a:gd name="T12" fmla="+- 0 1149 1149"/>
              <a:gd name="T13" fmla="*/ T12 w 62"/>
              <a:gd name="T14" fmla="+- 0 1291 1260"/>
              <a:gd name="T15" fmla="*/ 1291 h 54"/>
              <a:gd name="T16" fmla="+- 0 1161 1149"/>
              <a:gd name="T17" fmla="*/ T16 w 62"/>
              <a:gd name="T18" fmla="+- 0 1307 1260"/>
              <a:gd name="T19" fmla="*/ 1307 h 54"/>
              <a:gd name="T20" fmla="+- 0 1184 1149"/>
              <a:gd name="T21" fmla="*/ T20 w 62"/>
              <a:gd name="T22" fmla="+- 0 1314 1260"/>
              <a:gd name="T23" fmla="*/ 1314 h 54"/>
              <a:gd name="T24" fmla="+- 0 1204 1149"/>
              <a:gd name="T25" fmla="*/ T24 w 62"/>
              <a:gd name="T26" fmla="+- 0 1304 1260"/>
              <a:gd name="T27" fmla="*/ 1304 h 54"/>
              <a:gd name="T28" fmla="+- 0 1211 1149"/>
              <a:gd name="T29" fmla="*/ T28 w 62"/>
              <a:gd name="T30" fmla="+- 0 1284 1260"/>
              <a:gd name="T31" fmla="*/ 1284 h 54"/>
              <a:gd name="T32" fmla="+- 0 1201 1149"/>
              <a:gd name="T33" fmla="*/ T32 w 62"/>
              <a:gd name="T34" fmla="+- 0 1267 1260"/>
              <a:gd name="T35" fmla="*/ 1267 h 54"/>
              <a:gd name="T36" fmla="+- 0 1179 1149"/>
              <a:gd name="T37" fmla="*/ T36 w 62"/>
              <a:gd name="T38" fmla="+- 0 1260 1260"/>
              <a:gd name="T39" fmla="*/ 1260 h 5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</a:cxnLst>
            <a:rect l="0" t="0" r="r" b="b"/>
            <a:pathLst>
              <a:path w="62" h="54">
                <a:moveTo>
                  <a:pt x="30" y="0"/>
                </a:moveTo>
                <a:lnTo>
                  <a:pt x="9" y="8"/>
                </a:lnTo>
                <a:lnTo>
                  <a:pt x="0" y="27"/>
                </a:lnTo>
                <a:lnTo>
                  <a:pt x="0" y="31"/>
                </a:lnTo>
                <a:lnTo>
                  <a:pt x="12" y="47"/>
                </a:lnTo>
                <a:lnTo>
                  <a:pt x="35" y="54"/>
                </a:lnTo>
                <a:lnTo>
                  <a:pt x="55" y="44"/>
                </a:lnTo>
                <a:lnTo>
                  <a:pt x="62" y="24"/>
                </a:lnTo>
                <a:lnTo>
                  <a:pt x="52" y="7"/>
                </a:lnTo>
                <a:lnTo>
                  <a:pt x="30" y="0"/>
                </a:ln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104775</xdr:colOff>
      <xdr:row>177</xdr:row>
      <xdr:rowOff>104775</xdr:rowOff>
    </xdr:from>
    <xdr:to>
      <xdr:col>4</xdr:col>
      <xdr:colOff>161925</xdr:colOff>
      <xdr:row>182</xdr:row>
      <xdr:rowOff>38100</xdr:rowOff>
    </xdr:to>
    <xdr:grpSp>
      <xdr:nvGrpSpPr>
        <xdr:cNvPr id="2675" name="2674 Grupo"/>
        <xdr:cNvGrpSpPr/>
      </xdr:nvGrpSpPr>
      <xdr:grpSpPr>
        <a:xfrm>
          <a:off x="257175" y="36957000"/>
          <a:ext cx="1771650" cy="1085850"/>
          <a:chOff x="152400" y="171450"/>
          <a:chExt cx="1895475" cy="938553"/>
        </a:xfrm>
      </xdr:grpSpPr>
      <xdr:pic>
        <xdr:nvPicPr>
          <xdr:cNvPr id="2676" name="2675 Imagen" descr="http://www.cecytpue.edu.mx/Noticias/images/inegi2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71450"/>
            <a:ext cx="1476375" cy="9385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677" name="2676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81151" y="371568"/>
            <a:ext cx="466724" cy="6468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13</xdr:col>
      <xdr:colOff>476250</xdr:colOff>
      <xdr:row>178</xdr:row>
      <xdr:rowOff>118718</xdr:rowOff>
    </xdr:from>
    <xdr:to>
      <xdr:col>14</xdr:col>
      <xdr:colOff>699136</xdr:colOff>
      <xdr:row>181</xdr:row>
      <xdr:rowOff>63571</xdr:rowOff>
    </xdr:to>
    <xdr:pic>
      <xdr:nvPicPr>
        <xdr:cNvPr id="2678" name="2677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4703993"/>
          <a:ext cx="984886" cy="640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</xdr:colOff>
      <xdr:row>177</xdr:row>
      <xdr:rowOff>142875</xdr:rowOff>
    </xdr:from>
    <xdr:to>
      <xdr:col>11</xdr:col>
      <xdr:colOff>733425</xdr:colOff>
      <xdr:row>180</xdr:row>
      <xdr:rowOff>114300</xdr:rowOff>
    </xdr:to>
    <xdr:sp macro="" textlink="">
      <xdr:nvSpPr>
        <xdr:cNvPr id="2679" name="2678 Rectángulo redondeado"/>
        <xdr:cNvSpPr/>
      </xdr:nvSpPr>
      <xdr:spPr>
        <a:xfrm>
          <a:off x="2647950" y="9601200"/>
          <a:ext cx="4629150" cy="6667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171450</xdr:colOff>
      <xdr:row>325</xdr:row>
      <xdr:rowOff>47625</xdr:rowOff>
    </xdr:from>
    <xdr:to>
      <xdr:col>7</xdr:col>
      <xdr:colOff>210820</xdr:colOff>
      <xdr:row>325</xdr:row>
      <xdr:rowOff>81915</xdr:rowOff>
    </xdr:to>
    <xdr:grpSp>
      <xdr:nvGrpSpPr>
        <xdr:cNvPr id="2055" name="Group 2699"/>
        <xdr:cNvGrpSpPr>
          <a:grpSpLocks/>
        </xdr:cNvGrpSpPr>
      </xdr:nvGrpSpPr>
      <xdr:grpSpPr bwMode="auto">
        <a:xfrm>
          <a:off x="3667125" y="66446400"/>
          <a:ext cx="39370" cy="34290"/>
          <a:chOff x="1149" y="1320"/>
          <a:chExt cx="62" cy="54"/>
        </a:xfrm>
      </xdr:grpSpPr>
      <xdr:sp macro="" textlink="">
        <xdr:nvSpPr>
          <xdr:cNvPr id="2056" name="Freeform 2700"/>
          <xdr:cNvSpPr>
            <a:spLocks/>
          </xdr:cNvSpPr>
        </xdr:nvSpPr>
        <xdr:spPr bwMode="auto">
          <a:xfrm>
            <a:off x="1149" y="1320"/>
            <a:ext cx="62" cy="54"/>
          </a:xfrm>
          <a:custGeom>
            <a:avLst/>
            <a:gdLst>
              <a:gd name="T0" fmla="+- 0 1179 1149"/>
              <a:gd name="T1" fmla="*/ T0 w 62"/>
              <a:gd name="T2" fmla="+- 0 1320 1320"/>
              <a:gd name="T3" fmla="*/ 1320 h 54"/>
              <a:gd name="T4" fmla="+- 0 1158 1149"/>
              <a:gd name="T5" fmla="*/ T4 w 62"/>
              <a:gd name="T6" fmla="+- 0 1329 1320"/>
              <a:gd name="T7" fmla="*/ 1329 h 54"/>
              <a:gd name="T8" fmla="+- 0 1149 1149"/>
              <a:gd name="T9" fmla="*/ T8 w 62"/>
              <a:gd name="T10" fmla="+- 0 1347 1320"/>
              <a:gd name="T11" fmla="*/ 1347 h 54"/>
              <a:gd name="T12" fmla="+- 0 1149 1149"/>
              <a:gd name="T13" fmla="*/ T12 w 62"/>
              <a:gd name="T14" fmla="+- 0 1352 1320"/>
              <a:gd name="T15" fmla="*/ 1352 h 54"/>
              <a:gd name="T16" fmla="+- 0 1161 1149"/>
              <a:gd name="T17" fmla="*/ T16 w 62"/>
              <a:gd name="T18" fmla="+- 0 1368 1320"/>
              <a:gd name="T19" fmla="*/ 1368 h 54"/>
              <a:gd name="T20" fmla="+- 0 1184 1149"/>
              <a:gd name="T21" fmla="*/ T20 w 62"/>
              <a:gd name="T22" fmla="+- 0 1374 1320"/>
              <a:gd name="T23" fmla="*/ 1374 h 54"/>
              <a:gd name="T24" fmla="+- 0 1204 1149"/>
              <a:gd name="T25" fmla="*/ T24 w 62"/>
              <a:gd name="T26" fmla="+- 0 1365 1320"/>
              <a:gd name="T27" fmla="*/ 1365 h 54"/>
              <a:gd name="T28" fmla="+- 0 1211 1149"/>
              <a:gd name="T29" fmla="*/ T28 w 62"/>
              <a:gd name="T30" fmla="+- 0 1345 1320"/>
              <a:gd name="T31" fmla="*/ 1345 h 54"/>
              <a:gd name="T32" fmla="+- 0 1201 1149"/>
              <a:gd name="T33" fmla="*/ T32 w 62"/>
              <a:gd name="T34" fmla="+- 0 1327 1320"/>
              <a:gd name="T35" fmla="*/ 1327 h 54"/>
              <a:gd name="T36" fmla="+- 0 1179 1149"/>
              <a:gd name="T37" fmla="*/ T36 w 62"/>
              <a:gd name="T38" fmla="+- 0 1320 1320"/>
              <a:gd name="T39" fmla="*/ 1320 h 5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</a:cxnLst>
            <a:rect l="0" t="0" r="r" b="b"/>
            <a:pathLst>
              <a:path w="62" h="54">
                <a:moveTo>
                  <a:pt x="30" y="0"/>
                </a:moveTo>
                <a:lnTo>
                  <a:pt x="9" y="9"/>
                </a:lnTo>
                <a:lnTo>
                  <a:pt x="0" y="27"/>
                </a:lnTo>
                <a:lnTo>
                  <a:pt x="0" y="32"/>
                </a:lnTo>
                <a:lnTo>
                  <a:pt x="12" y="48"/>
                </a:lnTo>
                <a:lnTo>
                  <a:pt x="35" y="54"/>
                </a:lnTo>
                <a:lnTo>
                  <a:pt x="55" y="45"/>
                </a:lnTo>
                <a:lnTo>
                  <a:pt x="62" y="25"/>
                </a:lnTo>
                <a:lnTo>
                  <a:pt x="52" y="7"/>
                </a:lnTo>
                <a:lnTo>
                  <a:pt x="30" y="0"/>
                </a:ln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7</xdr:col>
      <xdr:colOff>171450</xdr:colOff>
      <xdr:row>325</xdr:row>
      <xdr:rowOff>9525</xdr:rowOff>
    </xdr:from>
    <xdr:to>
      <xdr:col>7</xdr:col>
      <xdr:colOff>210820</xdr:colOff>
      <xdr:row>325</xdr:row>
      <xdr:rowOff>43815</xdr:rowOff>
    </xdr:to>
    <xdr:grpSp>
      <xdr:nvGrpSpPr>
        <xdr:cNvPr id="2057" name="Group 2697"/>
        <xdr:cNvGrpSpPr>
          <a:grpSpLocks/>
        </xdr:cNvGrpSpPr>
      </xdr:nvGrpSpPr>
      <xdr:grpSpPr bwMode="auto">
        <a:xfrm>
          <a:off x="3667125" y="66408300"/>
          <a:ext cx="39370" cy="34290"/>
          <a:chOff x="1149" y="1260"/>
          <a:chExt cx="62" cy="54"/>
        </a:xfrm>
      </xdr:grpSpPr>
      <xdr:sp macro="" textlink="">
        <xdr:nvSpPr>
          <xdr:cNvPr id="2058" name="Freeform 2698"/>
          <xdr:cNvSpPr>
            <a:spLocks/>
          </xdr:cNvSpPr>
        </xdr:nvSpPr>
        <xdr:spPr bwMode="auto">
          <a:xfrm>
            <a:off x="1149" y="1260"/>
            <a:ext cx="62" cy="54"/>
          </a:xfrm>
          <a:custGeom>
            <a:avLst/>
            <a:gdLst>
              <a:gd name="T0" fmla="+- 0 1179 1149"/>
              <a:gd name="T1" fmla="*/ T0 w 62"/>
              <a:gd name="T2" fmla="+- 0 1260 1260"/>
              <a:gd name="T3" fmla="*/ 1260 h 54"/>
              <a:gd name="T4" fmla="+- 0 1158 1149"/>
              <a:gd name="T5" fmla="*/ T4 w 62"/>
              <a:gd name="T6" fmla="+- 0 1268 1260"/>
              <a:gd name="T7" fmla="*/ 1268 h 54"/>
              <a:gd name="T8" fmla="+- 0 1149 1149"/>
              <a:gd name="T9" fmla="*/ T8 w 62"/>
              <a:gd name="T10" fmla="+- 0 1287 1260"/>
              <a:gd name="T11" fmla="*/ 1287 h 54"/>
              <a:gd name="T12" fmla="+- 0 1149 1149"/>
              <a:gd name="T13" fmla="*/ T12 w 62"/>
              <a:gd name="T14" fmla="+- 0 1291 1260"/>
              <a:gd name="T15" fmla="*/ 1291 h 54"/>
              <a:gd name="T16" fmla="+- 0 1161 1149"/>
              <a:gd name="T17" fmla="*/ T16 w 62"/>
              <a:gd name="T18" fmla="+- 0 1307 1260"/>
              <a:gd name="T19" fmla="*/ 1307 h 54"/>
              <a:gd name="T20" fmla="+- 0 1184 1149"/>
              <a:gd name="T21" fmla="*/ T20 w 62"/>
              <a:gd name="T22" fmla="+- 0 1314 1260"/>
              <a:gd name="T23" fmla="*/ 1314 h 54"/>
              <a:gd name="T24" fmla="+- 0 1204 1149"/>
              <a:gd name="T25" fmla="*/ T24 w 62"/>
              <a:gd name="T26" fmla="+- 0 1304 1260"/>
              <a:gd name="T27" fmla="*/ 1304 h 54"/>
              <a:gd name="T28" fmla="+- 0 1211 1149"/>
              <a:gd name="T29" fmla="*/ T28 w 62"/>
              <a:gd name="T30" fmla="+- 0 1284 1260"/>
              <a:gd name="T31" fmla="*/ 1284 h 54"/>
              <a:gd name="T32" fmla="+- 0 1201 1149"/>
              <a:gd name="T33" fmla="*/ T32 w 62"/>
              <a:gd name="T34" fmla="+- 0 1267 1260"/>
              <a:gd name="T35" fmla="*/ 1267 h 54"/>
              <a:gd name="T36" fmla="+- 0 1179 1149"/>
              <a:gd name="T37" fmla="*/ T36 w 62"/>
              <a:gd name="T38" fmla="+- 0 1260 1260"/>
              <a:gd name="T39" fmla="*/ 1260 h 5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</a:cxnLst>
            <a:rect l="0" t="0" r="r" b="b"/>
            <a:pathLst>
              <a:path w="62" h="54">
                <a:moveTo>
                  <a:pt x="30" y="0"/>
                </a:moveTo>
                <a:lnTo>
                  <a:pt x="9" y="8"/>
                </a:lnTo>
                <a:lnTo>
                  <a:pt x="0" y="27"/>
                </a:lnTo>
                <a:lnTo>
                  <a:pt x="0" y="31"/>
                </a:lnTo>
                <a:lnTo>
                  <a:pt x="12" y="47"/>
                </a:lnTo>
                <a:lnTo>
                  <a:pt x="35" y="54"/>
                </a:lnTo>
                <a:lnTo>
                  <a:pt x="55" y="44"/>
                </a:lnTo>
                <a:lnTo>
                  <a:pt x="62" y="24"/>
                </a:lnTo>
                <a:lnTo>
                  <a:pt x="52" y="7"/>
                </a:lnTo>
                <a:lnTo>
                  <a:pt x="30" y="0"/>
                </a:ln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104775</xdr:colOff>
      <xdr:row>322</xdr:row>
      <xdr:rowOff>104775</xdr:rowOff>
    </xdr:from>
    <xdr:to>
      <xdr:col>4</xdr:col>
      <xdr:colOff>161925</xdr:colOff>
      <xdr:row>327</xdr:row>
      <xdr:rowOff>38100</xdr:rowOff>
    </xdr:to>
    <xdr:grpSp>
      <xdr:nvGrpSpPr>
        <xdr:cNvPr id="2059" name="2058 Grupo"/>
        <xdr:cNvGrpSpPr/>
      </xdr:nvGrpSpPr>
      <xdr:grpSpPr>
        <a:xfrm>
          <a:off x="257175" y="65808225"/>
          <a:ext cx="1771650" cy="1085850"/>
          <a:chOff x="152400" y="171450"/>
          <a:chExt cx="1895475" cy="938553"/>
        </a:xfrm>
      </xdr:grpSpPr>
      <xdr:pic>
        <xdr:nvPicPr>
          <xdr:cNvPr id="2060" name="2059 Imagen" descr="http://www.cecytpue.edu.mx/Noticias/images/inegi2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71450"/>
            <a:ext cx="1476375" cy="9385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61" name="206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81151" y="371568"/>
            <a:ext cx="466724" cy="6468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13</xdr:col>
      <xdr:colOff>476250</xdr:colOff>
      <xdr:row>323</xdr:row>
      <xdr:rowOff>118718</xdr:rowOff>
    </xdr:from>
    <xdr:to>
      <xdr:col>14</xdr:col>
      <xdr:colOff>699136</xdr:colOff>
      <xdr:row>326</xdr:row>
      <xdr:rowOff>63571</xdr:rowOff>
    </xdr:to>
    <xdr:pic>
      <xdr:nvPicPr>
        <xdr:cNvPr id="2062" name="2061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34703993"/>
          <a:ext cx="965836" cy="640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3175</xdr:colOff>
      <xdr:row>322</xdr:row>
      <xdr:rowOff>174625</xdr:rowOff>
    </xdr:from>
    <xdr:to>
      <xdr:col>11</xdr:col>
      <xdr:colOff>717550</xdr:colOff>
      <xdr:row>325</xdr:row>
      <xdr:rowOff>146050</xdr:rowOff>
    </xdr:to>
    <xdr:sp macro="" textlink="">
      <xdr:nvSpPr>
        <xdr:cNvPr id="2063" name="2062 Rectángulo redondeado"/>
        <xdr:cNvSpPr/>
      </xdr:nvSpPr>
      <xdr:spPr>
        <a:xfrm>
          <a:off x="2638425" y="66214625"/>
          <a:ext cx="4714875" cy="6858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361949</xdr:colOff>
      <xdr:row>2</xdr:row>
      <xdr:rowOff>123825</xdr:rowOff>
    </xdr:from>
    <xdr:to>
      <xdr:col>3</xdr:col>
      <xdr:colOff>361950</xdr:colOff>
      <xdr:row>7</xdr:row>
      <xdr:rowOff>168107</xdr:rowOff>
    </xdr:to>
    <xdr:pic>
      <xdr:nvPicPr>
        <xdr:cNvPr id="315" name="31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9" y="504825"/>
          <a:ext cx="762001" cy="99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478004</xdr:colOff>
      <xdr:row>2</xdr:row>
      <xdr:rowOff>104774</xdr:rowOff>
    </xdr:from>
    <xdr:to>
      <xdr:col>14</xdr:col>
      <xdr:colOff>546736</xdr:colOff>
      <xdr:row>7</xdr:row>
      <xdr:rowOff>95250</xdr:rowOff>
    </xdr:to>
    <xdr:pic>
      <xdr:nvPicPr>
        <xdr:cNvPr id="316" name="31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404" y="485774"/>
          <a:ext cx="1573682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sesor.planeacion@umb.m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73"/>
  <sheetViews>
    <sheetView showGridLines="0" tabSelected="1" zoomScaleNormal="100" workbookViewId="0">
      <selection activeCell="M571" sqref="M571"/>
    </sheetView>
  </sheetViews>
  <sheetFormatPr baseColWidth="10" defaultRowHeight="15" x14ac:dyDescent="0.25"/>
  <cols>
    <col min="1" max="1" width="2.28515625" customWidth="1"/>
    <col min="2" max="2" width="2.85546875" customWidth="1"/>
    <col min="7" max="7" width="1.5703125" customWidth="1"/>
    <col min="8" max="8" width="12.7109375" customWidth="1"/>
    <col min="14" max="15" width="11.140625" customWidth="1"/>
    <col min="16" max="16" width="1.42578125" customWidth="1"/>
  </cols>
  <sheetData>
    <row r="1" spans="2:16" ht="15.75" thickBot="1" x14ac:dyDescent="0.3">
      <c r="B1" s="2"/>
    </row>
    <row r="2" spans="2:16" x14ac:dyDescent="0.25">
      <c r="B2" s="5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2:16" x14ac:dyDescent="0.25">
      <c r="B3" s="3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2:16" x14ac:dyDescent="0.25">
      <c r="B4" s="3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2:16" x14ac:dyDescent="0.25">
      <c r="B5" s="3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2:16" x14ac:dyDescent="0.25">
      <c r="B6" s="3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2:16" x14ac:dyDescent="0.25">
      <c r="B7" s="3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2:16" x14ac:dyDescent="0.25">
      <c r="B8" s="3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</row>
    <row r="9" spans="2:16" x14ac:dyDescent="0.25">
      <c r="B9" s="3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</row>
    <row r="10" spans="2:16" x14ac:dyDescent="0.25">
      <c r="B10" s="3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</row>
    <row r="11" spans="2:16" x14ac:dyDescent="0.25">
      <c r="B11" s="3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</row>
    <row r="12" spans="2:16" x14ac:dyDescent="0.25">
      <c r="B12" s="3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</row>
    <row r="13" spans="2:16" x14ac:dyDescent="0.25">
      <c r="B13" s="3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</row>
    <row r="14" spans="2:16" x14ac:dyDescent="0.25"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</row>
    <row r="15" spans="2:16" x14ac:dyDescent="0.25">
      <c r="B15" s="3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2:16" ht="15.75" x14ac:dyDescent="0.25">
      <c r="B16" s="5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/>
    </row>
    <row r="17" spans="2:16" ht="34.5" x14ac:dyDescent="0.25">
      <c r="B17" s="12"/>
      <c r="C17" s="211" t="s">
        <v>227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14"/>
    </row>
    <row r="18" spans="2:16" x14ac:dyDescent="0.25">
      <c r="B18" s="5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</row>
    <row r="19" spans="2:16" ht="34.5" x14ac:dyDescent="0.25">
      <c r="B19" s="12"/>
      <c r="C19" s="212" t="s">
        <v>0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14"/>
    </row>
    <row r="20" spans="2:16" x14ac:dyDescent="0.25">
      <c r="B20" s="5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</row>
    <row r="21" spans="2:16" x14ac:dyDescent="0.25">
      <c r="B21" s="3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2:16" x14ac:dyDescent="0.25">
      <c r="B22" s="3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</row>
    <row r="23" spans="2:16" x14ac:dyDescent="0.25">
      <c r="B23" s="3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2:16" x14ac:dyDescent="0.25">
      <c r="B24" s="3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</row>
    <row r="25" spans="2:16" x14ac:dyDescent="0.25"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26" spans="2:16" x14ac:dyDescent="0.25">
      <c r="B26" s="3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</row>
    <row r="27" spans="2:16" x14ac:dyDescent="0.25">
      <c r="B27" s="3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</row>
    <row r="28" spans="2:16" x14ac:dyDescent="0.25">
      <c r="B28" s="3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/>
    </row>
    <row r="29" spans="2:16" x14ac:dyDescent="0.25">
      <c r="B29" s="3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4"/>
    </row>
    <row r="30" spans="2:16" x14ac:dyDescent="0.25">
      <c r="B30" s="3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</row>
    <row r="31" spans="2:16" x14ac:dyDescent="0.25">
      <c r="B31" s="3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/>
    </row>
    <row r="32" spans="2:16" x14ac:dyDescent="0.25">
      <c r="B32" s="3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</row>
    <row r="33" spans="2:16" ht="23.25" x14ac:dyDescent="0.2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56" t="s">
        <v>376</v>
      </c>
      <c r="O33" s="13"/>
      <c r="P33" s="14"/>
    </row>
    <row r="34" spans="2:16" ht="9" customHeight="1" thickBot="1" x14ac:dyDescent="0.3">
      <c r="B34" s="25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57"/>
      <c r="O34" s="27"/>
      <c r="P34" s="28"/>
    </row>
    <row r="35" spans="2:16" ht="16.5" customHeight="1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6"/>
      <c r="O35" s="13"/>
      <c r="P35" s="13"/>
    </row>
    <row r="36" spans="2:16" ht="15.75" thickBot="1" x14ac:dyDescent="0.3"/>
    <row r="37" spans="2:16" ht="15.7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30">
        <v>911.1</v>
      </c>
      <c r="P37" s="11"/>
    </row>
    <row r="38" spans="2:16" ht="19.5" x14ac:dyDescent="0.25">
      <c r="B38" s="12"/>
      <c r="C38" s="13"/>
      <c r="D38" s="13"/>
      <c r="E38" s="13"/>
      <c r="F38" s="180" t="s">
        <v>145</v>
      </c>
      <c r="G38" s="180"/>
      <c r="H38" s="180"/>
      <c r="I38" s="180"/>
      <c r="J38" s="180"/>
      <c r="K38" s="180"/>
      <c r="L38" s="180"/>
      <c r="M38" s="13"/>
      <c r="N38" s="13"/>
      <c r="O38" s="13"/>
      <c r="P38" s="14"/>
    </row>
    <row r="39" spans="2:16" ht="19.5" x14ac:dyDescent="0.25">
      <c r="B39" s="12"/>
      <c r="C39" s="13"/>
      <c r="D39" s="13"/>
      <c r="E39" s="13"/>
      <c r="F39" s="180" t="s">
        <v>2</v>
      </c>
      <c r="G39" s="180"/>
      <c r="H39" s="180"/>
      <c r="I39" s="180"/>
      <c r="J39" s="180"/>
      <c r="K39" s="180"/>
      <c r="L39" s="180"/>
      <c r="M39" s="13"/>
      <c r="N39" s="13"/>
      <c r="O39" s="13"/>
      <c r="P39" s="14"/>
    </row>
    <row r="40" spans="2:16" ht="15.75" x14ac:dyDescent="0.25">
      <c r="B40" s="12"/>
      <c r="C40" s="1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4"/>
    </row>
    <row r="41" spans="2:16" ht="20.25" x14ac:dyDescent="0.35">
      <c r="B41" s="12"/>
      <c r="C41" s="13"/>
      <c r="D41" s="13"/>
      <c r="E41" s="13"/>
      <c r="F41" s="209" t="s">
        <v>3</v>
      </c>
      <c r="G41" s="209"/>
      <c r="H41" s="209"/>
      <c r="I41" s="209"/>
      <c r="J41" s="209"/>
      <c r="K41" s="209"/>
      <c r="L41" s="209"/>
      <c r="M41" s="13"/>
      <c r="N41" s="13"/>
      <c r="O41" s="13"/>
      <c r="P41" s="14"/>
    </row>
    <row r="42" spans="2:16" x14ac:dyDescent="0.25">
      <c r="B42" s="12"/>
      <c r="C42" s="1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</row>
    <row r="43" spans="2:16" ht="18.75" customHeight="1" x14ac:dyDescent="0.25">
      <c r="B43" s="12"/>
      <c r="C43" s="17" t="s">
        <v>146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/>
    </row>
    <row r="44" spans="2:16" ht="18.75" customHeight="1" x14ac:dyDescent="0.25">
      <c r="B44" s="12"/>
      <c r="C44" s="18" t="s">
        <v>5</v>
      </c>
      <c r="D44" s="13"/>
      <c r="E44" s="132" t="s">
        <v>244</v>
      </c>
      <c r="F44" s="134"/>
      <c r="G44" s="118"/>
      <c r="H44" s="13"/>
      <c r="I44" s="19"/>
      <c r="J44" s="13"/>
      <c r="K44" s="197"/>
      <c r="L44" s="197"/>
      <c r="M44" s="13"/>
      <c r="N44" s="13"/>
      <c r="O44" s="13"/>
      <c r="P44" s="14"/>
    </row>
    <row r="45" spans="2:16" ht="18.75" customHeight="1" x14ac:dyDescent="0.25">
      <c r="B45" s="12"/>
      <c r="C45" s="18" t="s">
        <v>312</v>
      </c>
      <c r="D45" s="13"/>
      <c r="E45" s="130" t="str">
        <f>IF($E$44="","",VLOOKUP($E$44,Base!$A$3:$BS$40,2,FALSE))</f>
        <v>UNIVERSIDAD MEXIQUENSE DEL BICENTENARIO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14"/>
    </row>
    <row r="46" spans="2:16" ht="18.75" customHeight="1" x14ac:dyDescent="0.25">
      <c r="B46" s="12"/>
      <c r="C46" s="18" t="s">
        <v>147</v>
      </c>
      <c r="D46" s="13"/>
      <c r="E46" s="130" t="str">
        <f>IF($E$44="","",VLOOKUP($E$44,Base!$A$3:$BS$40,3,FALSE))</f>
        <v>CARR. MEXICO TOLUCA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14"/>
    </row>
    <row r="47" spans="2:16" ht="18.75" customHeight="1" x14ac:dyDescent="0.25">
      <c r="B47" s="12"/>
      <c r="C47" s="18" t="s">
        <v>148</v>
      </c>
      <c r="D47" s="13"/>
      <c r="E47" s="130" t="str">
        <f>IF($E$44="","",VLOOKUP($E$44,Base!$A$3:$BS$40,4,FALSE))</f>
        <v>KM 43.5</v>
      </c>
      <c r="F47" s="135"/>
      <c r="G47" s="135"/>
      <c r="H47" s="135"/>
      <c r="I47" s="198" t="s">
        <v>149</v>
      </c>
      <c r="J47" s="198"/>
      <c r="K47" s="130" t="str">
        <f>IF($E$44="","",VLOOKUP($E$44,Base!$A$3:$BS$40,5,FALSE))</f>
        <v xml:space="preserve"> </v>
      </c>
      <c r="L47" s="135"/>
      <c r="M47" s="135"/>
      <c r="N47" s="135"/>
      <c r="O47" s="135"/>
      <c r="P47" s="14"/>
    </row>
    <row r="48" spans="2:16" ht="18.75" customHeight="1" x14ac:dyDescent="0.25">
      <c r="B48" s="12"/>
      <c r="C48" s="18" t="s">
        <v>150</v>
      </c>
      <c r="D48" s="13"/>
      <c r="E48" s="130" t="str">
        <f>IF($E$44="","",VLOOKUP($E$44,Base!$A$3:$BS$40,6,FALSE))</f>
        <v>NINGUNO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4"/>
    </row>
    <row r="49" spans="2:16" ht="18.75" customHeight="1" x14ac:dyDescent="0.25">
      <c r="B49" s="12"/>
      <c r="C49" s="18" t="s">
        <v>151</v>
      </c>
      <c r="D49" s="13"/>
      <c r="E49" s="130" t="str">
        <f>IF($E$44="","",VLOOKUP($E$44,Base!$A$3:$BS$40,7,FALSE))</f>
        <v>JUAN DE DIOS PEZA</v>
      </c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4"/>
    </row>
    <row r="50" spans="2:16" ht="18.75" customHeight="1" x14ac:dyDescent="0.25">
      <c r="B50" s="12"/>
      <c r="C50" s="58" t="s">
        <v>152</v>
      </c>
      <c r="D50" s="13"/>
      <c r="E50" s="78" t="str">
        <f>IF($E$44="","",VLOOKUP($E$44,Base!$A$3:$BS$40,8,FALSE))</f>
        <v xml:space="preserve"> </v>
      </c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4"/>
    </row>
    <row r="51" spans="2:16" ht="6" customHeight="1" x14ac:dyDescent="0.25">
      <c r="B51" s="12"/>
      <c r="C51" s="21"/>
      <c r="D51" s="13"/>
      <c r="E51" s="137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4"/>
    </row>
    <row r="52" spans="2:16" x14ac:dyDescent="0.25">
      <c r="B52" s="12"/>
      <c r="C52" s="18" t="s">
        <v>153</v>
      </c>
      <c r="D52" s="13"/>
      <c r="E52" s="147" t="str">
        <f>IF($E$44="","",VLOOKUP($E$44,Base!$A$3:$BS$40,9,FALSE))</f>
        <v>BARRIO</v>
      </c>
      <c r="F52" s="136"/>
      <c r="G52" s="136"/>
      <c r="H52" s="136"/>
      <c r="I52" s="136"/>
      <c r="J52" s="136"/>
      <c r="K52" s="20"/>
      <c r="L52" s="20"/>
      <c r="M52" s="18" t="s">
        <v>6</v>
      </c>
      <c r="N52" s="132">
        <f>IF($E$44="","",VLOOKUP($E$44,Base!$A$3:$BS$40,10,FALSE))</f>
        <v>52740</v>
      </c>
      <c r="O52" s="131"/>
      <c r="P52" s="14"/>
    </row>
    <row r="53" spans="2:16" ht="18.75" customHeight="1" x14ac:dyDescent="0.25">
      <c r="B53" s="12"/>
      <c r="C53" s="18" t="s">
        <v>7</v>
      </c>
      <c r="D53" s="13"/>
      <c r="E53" s="130" t="str">
        <f>IF($E$44="","",VLOOKUP($E$44,Base!$A$3:$BS$40,11,FALSE))</f>
        <v xml:space="preserve">SAN MIGUEL 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14"/>
    </row>
    <row r="54" spans="2:16" ht="18.75" customHeight="1" x14ac:dyDescent="0.25">
      <c r="B54" s="12"/>
      <c r="C54" s="18" t="s">
        <v>154</v>
      </c>
      <c r="D54" s="13"/>
      <c r="E54" s="130" t="str">
        <f>IF($E$44="","",VLOOKUP($E$44,Base!$A$3:$BS$40,12,FALSE))</f>
        <v>OCOYOACAC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4"/>
    </row>
    <row r="55" spans="2:16" ht="18.75" customHeight="1" x14ac:dyDescent="0.25">
      <c r="B55" s="12"/>
      <c r="C55" s="18" t="s">
        <v>8</v>
      </c>
      <c r="D55" s="13"/>
      <c r="E55" s="130" t="str">
        <f>IF($E$44="","",VLOOKUP($E$44,Base!$A$3:$BS$40,13,FALSE))</f>
        <v>MÉXICO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14"/>
    </row>
    <row r="56" spans="2:16" ht="18.75" customHeight="1" x14ac:dyDescent="0.25">
      <c r="B56" s="12"/>
      <c r="C56" s="18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4"/>
    </row>
    <row r="57" spans="2:16" ht="18.75" customHeight="1" x14ac:dyDescent="0.25">
      <c r="B57" s="12"/>
      <c r="C57" s="18" t="s">
        <v>9</v>
      </c>
      <c r="D57" s="132">
        <f>IF($E$44="","",VLOOKUP($E$44,Base!$A$3:$BS$40,14,FALSE))</f>
        <v>7282847310</v>
      </c>
      <c r="E57" s="131"/>
      <c r="F57" s="18" t="s">
        <v>10</v>
      </c>
      <c r="G57" s="18"/>
      <c r="H57" s="132">
        <f>IF($E$44="","",VLOOKUP($E$44,Base!$A$3:$BS$40,15,FALSE))</f>
        <v>162</v>
      </c>
      <c r="I57" s="131"/>
      <c r="J57" s="120" t="s">
        <v>11</v>
      </c>
      <c r="K57" s="132">
        <f>IF($E$44="","",VLOOKUP($E$44,Base!$A$3:$BS$40,16,FALSE))</f>
        <v>7282847310</v>
      </c>
      <c r="L57" s="131"/>
      <c r="M57" s="18" t="s">
        <v>10</v>
      </c>
      <c r="N57" s="133">
        <f>IF($E$44="","",VLOOKUP($E$44,Base!$A$3:$BS$40,17,FALSE))</f>
        <v>122</v>
      </c>
      <c r="O57" s="13"/>
      <c r="P57" s="14"/>
    </row>
    <row r="58" spans="2:16" ht="18.75" customHeight="1" x14ac:dyDescent="0.25">
      <c r="B58" s="12"/>
      <c r="C58" s="18" t="s">
        <v>12</v>
      </c>
      <c r="D58" s="13"/>
      <c r="E58" s="130" t="str">
        <f>IF($E$44="","",VLOOKUP($E$44,Base!$A$3:$BS$40,18,FALSE))</f>
        <v>SECRETARIA DE EDUCACIÓN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14"/>
    </row>
    <row r="59" spans="2:16" ht="18.75" customHeight="1" x14ac:dyDescent="0.25">
      <c r="B59" s="12"/>
      <c r="C59" s="18" t="s">
        <v>307</v>
      </c>
      <c r="D59" s="20"/>
      <c r="E59" s="20"/>
      <c r="F59" s="130" t="str">
        <f>IF($E$44="","",VLOOKUP($E$44,Base!$A$3:$BS$40,19,FALSE))</f>
        <v>EDUCACIÓN SUPERIOR</v>
      </c>
      <c r="G59" s="20"/>
      <c r="H59" s="20"/>
      <c r="I59" s="20"/>
      <c r="J59" s="13" t="s">
        <v>308</v>
      </c>
      <c r="L59" s="130" t="str">
        <f>IF($E$44="","",VLOOKUP($E$44,Base!$A$3:$BS$40,20,FALSE))</f>
        <v>ORGANISMO DESCENTRALIZADO</v>
      </c>
      <c r="M59" s="20"/>
      <c r="N59" s="20"/>
      <c r="O59" s="20"/>
      <c r="P59" s="14"/>
    </row>
    <row r="60" spans="2:16" ht="18.75" customHeight="1" x14ac:dyDescent="0.25">
      <c r="B60" s="12"/>
      <c r="C60" s="18" t="s">
        <v>309</v>
      </c>
      <c r="D60" s="13"/>
      <c r="E60" s="13"/>
      <c r="F60" s="22"/>
      <c r="G60" s="130" t="str">
        <f>IF($E$44="","",VLOOKUP($E$44,Base!$A$3:$BS$40,21,FALSE))</f>
        <v>MTRO. URIEL GALICIA HERNANDEZ</v>
      </c>
      <c r="H60" s="22"/>
      <c r="I60" s="22"/>
      <c r="J60" s="20"/>
      <c r="K60" s="22"/>
      <c r="L60" s="22"/>
      <c r="M60" s="22"/>
      <c r="N60" s="22"/>
      <c r="O60" s="22"/>
      <c r="P60" s="14"/>
    </row>
    <row r="61" spans="2:16" ht="18.75" customHeight="1" x14ac:dyDescent="0.25">
      <c r="B61" s="12"/>
      <c r="C61" s="18" t="s">
        <v>310</v>
      </c>
      <c r="D61" s="20"/>
      <c r="E61" s="130" t="str">
        <f>IF($E$44="","",VLOOKUP($E$44,Base!$A$3:$BS$40,22,FALSE))</f>
        <v>www.umb.mx</v>
      </c>
      <c r="F61" s="20"/>
      <c r="G61" s="20"/>
      <c r="H61" s="20"/>
      <c r="I61" s="18" t="s">
        <v>311</v>
      </c>
      <c r="J61" s="13"/>
      <c r="K61" s="13"/>
      <c r="L61" s="22"/>
      <c r="M61" s="130" t="str">
        <f>IF($E$44="","",VLOOKUP($E$44,Base!$A$3:$BS$40,23,FALSE))</f>
        <v>asesor.planeacion@umb.mx</v>
      </c>
      <c r="N61" s="22"/>
      <c r="O61" s="22"/>
      <c r="P61" s="14"/>
    </row>
    <row r="62" spans="2:16" ht="18.75" customHeight="1" x14ac:dyDescent="0.25">
      <c r="B62" s="12"/>
      <c r="C62" s="18"/>
      <c r="D62" s="13"/>
      <c r="E62" s="13"/>
      <c r="F62" s="13"/>
      <c r="G62" s="13"/>
      <c r="H62" s="13"/>
      <c r="I62" s="18"/>
      <c r="J62" s="13"/>
      <c r="K62" s="13"/>
      <c r="L62" s="13"/>
      <c r="M62" s="13"/>
      <c r="N62" s="13"/>
      <c r="O62" s="13"/>
      <c r="P62" s="14"/>
    </row>
    <row r="63" spans="2:16" ht="15.75" thickBot="1" x14ac:dyDescent="0.3">
      <c r="B63" s="12"/>
      <c r="C63" s="16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4"/>
    </row>
    <row r="64" spans="2:16" ht="33.75" customHeight="1" x14ac:dyDescent="0.25">
      <c r="B64" s="12"/>
      <c r="C64" s="199" t="s">
        <v>13</v>
      </c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1"/>
      <c r="P64" s="14"/>
    </row>
    <row r="65" spans="2:16" ht="29.25" customHeight="1" x14ac:dyDescent="0.25">
      <c r="B65" s="12"/>
      <c r="C65" s="174" t="s">
        <v>155</v>
      </c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75"/>
      <c r="P65" s="14"/>
    </row>
    <row r="66" spans="2:16" ht="15.75" thickBot="1" x14ac:dyDescent="0.3">
      <c r="B66" s="12"/>
      <c r="C66" s="59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  <c r="P66" s="14"/>
    </row>
    <row r="67" spans="2:16" ht="15.75" thickBot="1" x14ac:dyDescent="0.3">
      <c r="B67" s="25"/>
      <c r="C67" s="26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</row>
    <row r="69" spans="2:16" ht="15.75" thickBot="1" x14ac:dyDescent="0.3"/>
    <row r="70" spans="2:16" ht="15" customHeight="1" thickBot="1" x14ac:dyDescent="0.3">
      <c r="B70" s="6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30">
        <v>911.1</v>
      </c>
      <c r="P70" s="11"/>
    </row>
    <row r="71" spans="2:16" ht="26.25" customHeight="1" thickBot="1" x14ac:dyDescent="0.3">
      <c r="B71" s="12"/>
      <c r="C71" s="13"/>
      <c r="D71" s="202" t="s">
        <v>156</v>
      </c>
      <c r="E71" s="203"/>
      <c r="F71" s="203"/>
      <c r="G71" s="203"/>
      <c r="H71" s="203"/>
      <c r="I71" s="203"/>
      <c r="J71" s="203"/>
      <c r="K71" s="203"/>
      <c r="L71" s="203"/>
      <c r="M71" s="203"/>
      <c r="N71" s="204"/>
      <c r="O71" s="121" t="s">
        <v>14</v>
      </c>
      <c r="P71" s="122"/>
    </row>
    <row r="72" spans="2:16" x14ac:dyDescent="0.25"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4"/>
    </row>
    <row r="73" spans="2:16" ht="15.75" x14ac:dyDescent="0.25">
      <c r="B73" s="61"/>
      <c r="C73" s="205" t="s">
        <v>15</v>
      </c>
      <c r="D73" s="205"/>
      <c r="E73" s="205"/>
      <c r="F73" s="205"/>
      <c r="G73" s="205"/>
      <c r="H73" s="205"/>
      <c r="I73" s="13"/>
      <c r="J73" s="13"/>
      <c r="K73" s="13"/>
      <c r="L73" s="13"/>
      <c r="M73" s="13"/>
      <c r="N73" s="13"/>
      <c r="O73" s="13"/>
      <c r="P73" s="14"/>
    </row>
    <row r="74" spans="2:16" x14ac:dyDescent="0.25">
      <c r="B74" s="12"/>
      <c r="C74" s="205"/>
      <c r="D74" s="205"/>
      <c r="E74" s="205"/>
      <c r="F74" s="205"/>
      <c r="G74" s="205"/>
      <c r="H74" s="205"/>
      <c r="I74" s="13"/>
      <c r="J74" s="13"/>
      <c r="K74" s="13"/>
      <c r="L74" s="13"/>
      <c r="M74" s="13"/>
      <c r="N74" s="13"/>
      <c r="O74" s="13"/>
      <c r="P74" s="14"/>
    </row>
    <row r="75" spans="2:16" ht="15.75" x14ac:dyDescent="0.25">
      <c r="B75" s="12"/>
      <c r="C75" s="62"/>
      <c r="D75" s="62"/>
      <c r="E75" s="62"/>
      <c r="F75" s="62"/>
      <c r="G75" s="62"/>
      <c r="H75" s="62"/>
      <c r="I75" s="13"/>
      <c r="J75" s="13"/>
      <c r="K75" s="13"/>
      <c r="L75" s="17" t="s">
        <v>19</v>
      </c>
      <c r="M75" s="13"/>
      <c r="N75" s="13"/>
      <c r="O75" s="13"/>
      <c r="P75" s="14"/>
    </row>
    <row r="76" spans="2:16" ht="15" customHeight="1" x14ac:dyDescent="0.25">
      <c r="B76" s="12"/>
      <c r="C76" s="155" t="s">
        <v>16</v>
      </c>
      <c r="D76" s="155"/>
      <c r="E76" s="155"/>
      <c r="F76" s="155"/>
      <c r="G76" s="45"/>
      <c r="H76" s="63"/>
      <c r="I76" s="13"/>
      <c r="J76" s="13"/>
      <c r="K76" s="13"/>
      <c r="L76" s="13"/>
      <c r="M76" s="13"/>
      <c r="N76" s="13"/>
      <c r="O76" s="13"/>
      <c r="P76" s="14"/>
    </row>
    <row r="77" spans="2:16" ht="15" customHeight="1" x14ac:dyDescent="0.25">
      <c r="B77" s="64"/>
      <c r="C77" s="155"/>
      <c r="D77" s="155"/>
      <c r="E77" s="155"/>
      <c r="F77" s="155"/>
      <c r="G77" s="45"/>
      <c r="H77" s="65" t="s">
        <v>17</v>
      </c>
      <c r="I77" s="13"/>
      <c r="J77" s="195" t="s">
        <v>20</v>
      </c>
      <c r="K77" s="195"/>
      <c r="L77" s="195"/>
      <c r="M77" s="13"/>
      <c r="N77" s="13"/>
      <c r="O77" s="13"/>
      <c r="P77" s="14"/>
    </row>
    <row r="78" spans="2:16" x14ac:dyDescent="0.25">
      <c r="B78" s="33"/>
      <c r="C78" s="155"/>
      <c r="D78" s="155"/>
      <c r="E78" s="155"/>
      <c r="F78" s="155"/>
      <c r="G78" s="45"/>
      <c r="H78" s="63"/>
      <c r="I78" s="13"/>
      <c r="J78" s="195"/>
      <c r="K78" s="195"/>
      <c r="L78" s="195"/>
      <c r="M78" s="13"/>
      <c r="N78" s="84" t="s">
        <v>21</v>
      </c>
      <c r="O78" s="13"/>
      <c r="P78" s="14"/>
    </row>
    <row r="79" spans="2:16" x14ac:dyDescent="0.25">
      <c r="B79" s="12"/>
      <c r="C79" s="155"/>
      <c r="D79" s="155"/>
      <c r="E79" s="155"/>
      <c r="F79" s="155"/>
      <c r="G79" s="45"/>
      <c r="H79" s="18" t="s">
        <v>157</v>
      </c>
      <c r="I79" s="13"/>
      <c r="J79" s="13"/>
      <c r="K79" s="23"/>
      <c r="L79" s="13"/>
      <c r="M79" s="13"/>
      <c r="N79" s="23"/>
      <c r="O79" s="13"/>
      <c r="P79" s="14"/>
    </row>
    <row r="80" spans="2:16" x14ac:dyDescent="0.25">
      <c r="B80" s="12"/>
      <c r="C80" s="155"/>
      <c r="D80" s="155"/>
      <c r="E80" s="155"/>
      <c r="F80" s="155"/>
      <c r="G80" s="45"/>
      <c r="H80" s="18" t="s">
        <v>158</v>
      </c>
      <c r="I80" s="13"/>
      <c r="J80" s="13"/>
      <c r="K80" s="23"/>
      <c r="L80" s="13"/>
      <c r="M80" s="13"/>
      <c r="N80" s="23"/>
      <c r="O80" s="13"/>
      <c r="P80" s="14"/>
    </row>
    <row r="81" spans="2:16" x14ac:dyDescent="0.25">
      <c r="B81" s="55"/>
      <c r="C81" s="13"/>
      <c r="D81" s="13"/>
      <c r="E81" s="13"/>
      <c r="F81" s="13"/>
      <c r="G81" s="13"/>
      <c r="H81" s="18" t="s">
        <v>159</v>
      </c>
      <c r="I81" s="13"/>
      <c r="J81" s="13"/>
      <c r="K81" s="133">
        <f>IF($E$44="","",VLOOKUP($E$44,Base!$A$3:$BS$40,24,FALSE))</f>
        <v>28</v>
      </c>
      <c r="L81" s="13"/>
      <c r="M81" s="13"/>
      <c r="N81" s="150">
        <f>IF($E$44="","",VLOOKUP($E$44,Base!$A$3:$BS$40,25,FALSE))</f>
        <v>9107</v>
      </c>
      <c r="O81" s="13"/>
      <c r="P81" s="14"/>
    </row>
    <row r="82" spans="2:16" x14ac:dyDescent="0.25">
      <c r="B82" s="33"/>
      <c r="C82" s="13"/>
      <c r="D82" s="13"/>
      <c r="E82" s="13"/>
      <c r="F82" s="13"/>
      <c r="G82" s="13"/>
      <c r="H82" s="18" t="s">
        <v>23</v>
      </c>
      <c r="I82" s="13"/>
      <c r="J82" s="13"/>
      <c r="K82" s="23"/>
      <c r="L82" s="13"/>
      <c r="M82" s="13"/>
      <c r="N82" s="234"/>
      <c r="O82" s="13"/>
      <c r="P82" s="14"/>
    </row>
    <row r="83" spans="2:16" ht="7.5" customHeight="1" x14ac:dyDescent="0.25">
      <c r="B83" s="12"/>
      <c r="C83" s="13"/>
      <c r="D83" s="13"/>
      <c r="E83" s="13"/>
      <c r="F83" s="13"/>
      <c r="G83" s="13"/>
      <c r="H83" s="66"/>
      <c r="I83" s="13"/>
      <c r="J83" s="13"/>
      <c r="K83" s="13"/>
      <c r="L83" s="13"/>
      <c r="M83" s="13"/>
      <c r="N83" s="149"/>
      <c r="O83" s="13"/>
      <c r="P83" s="14"/>
    </row>
    <row r="84" spans="2:16" x14ac:dyDescent="0.25">
      <c r="B84" s="12"/>
      <c r="C84" s="13"/>
      <c r="D84" s="13"/>
      <c r="E84" s="13"/>
      <c r="F84" s="13"/>
      <c r="G84" s="13"/>
      <c r="H84" s="17" t="s">
        <v>18</v>
      </c>
      <c r="I84" s="13"/>
      <c r="J84" s="13"/>
      <c r="K84" s="13"/>
      <c r="L84" s="13"/>
      <c r="M84" s="13"/>
      <c r="N84" s="151">
        <f>SUM(N79:N82)</f>
        <v>9107</v>
      </c>
      <c r="O84" s="13"/>
      <c r="P84" s="14"/>
    </row>
    <row r="85" spans="2:16" ht="8.25" customHeight="1" x14ac:dyDescent="0.25">
      <c r="B85" s="3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4"/>
    </row>
    <row r="86" spans="2:16" x14ac:dyDescent="0.25">
      <c r="B86" s="33"/>
      <c r="C86" s="13"/>
      <c r="D86" s="13"/>
      <c r="E86" s="13"/>
      <c r="F86" s="13"/>
      <c r="G86" s="13"/>
      <c r="H86" s="13"/>
      <c r="I86" s="13"/>
      <c r="J86" s="13"/>
      <c r="K86" s="17" t="s">
        <v>22</v>
      </c>
      <c r="L86" s="13"/>
      <c r="M86" s="13"/>
      <c r="N86" s="13"/>
      <c r="O86" s="13"/>
      <c r="P86" s="14"/>
    </row>
    <row r="87" spans="2:16" x14ac:dyDescent="0.25">
      <c r="B87" s="33"/>
      <c r="C87" s="13"/>
      <c r="D87" s="13"/>
      <c r="E87" s="13"/>
      <c r="F87" s="13"/>
      <c r="G87" s="13"/>
      <c r="H87" s="65" t="s">
        <v>17</v>
      </c>
      <c r="I87" s="13"/>
      <c r="J87" s="195" t="s">
        <v>20</v>
      </c>
      <c r="K87" s="195"/>
      <c r="L87" s="195"/>
      <c r="M87" s="13"/>
      <c r="N87" s="13"/>
      <c r="O87" s="13"/>
      <c r="P87" s="14"/>
    </row>
    <row r="88" spans="2:16" x14ac:dyDescent="0.25">
      <c r="B88" s="33"/>
      <c r="C88" s="13"/>
      <c r="D88" s="13"/>
      <c r="E88" s="13"/>
      <c r="F88" s="13"/>
      <c r="G88" s="13"/>
      <c r="H88" s="63"/>
      <c r="I88" s="13"/>
      <c r="J88" s="195"/>
      <c r="K88" s="195"/>
      <c r="L88" s="195"/>
      <c r="M88" s="13"/>
      <c r="N88" s="84" t="s">
        <v>21</v>
      </c>
      <c r="O88" s="13"/>
      <c r="P88" s="14"/>
    </row>
    <row r="89" spans="2:16" x14ac:dyDescent="0.25">
      <c r="B89" s="12"/>
      <c r="C89" s="13"/>
      <c r="D89" s="13"/>
      <c r="E89" s="13"/>
      <c r="F89" s="13"/>
      <c r="G89" s="13"/>
      <c r="H89" s="18" t="s">
        <v>157</v>
      </c>
      <c r="I89" s="13"/>
      <c r="J89" s="13"/>
      <c r="K89" s="23"/>
      <c r="L89" s="13"/>
      <c r="M89" s="13"/>
      <c r="N89" s="23"/>
      <c r="O89" s="13"/>
      <c r="P89" s="14"/>
    </row>
    <row r="90" spans="2:16" x14ac:dyDescent="0.25">
      <c r="B90" s="12"/>
      <c r="C90" s="13"/>
      <c r="D90" s="13"/>
      <c r="E90" s="13"/>
      <c r="F90" s="13"/>
      <c r="G90" s="13"/>
      <c r="H90" s="18" t="s">
        <v>158</v>
      </c>
      <c r="I90" s="13"/>
      <c r="J90" s="13"/>
      <c r="K90" s="23"/>
      <c r="L90" s="13"/>
      <c r="M90" s="13"/>
      <c r="N90" s="23"/>
      <c r="O90" s="13"/>
      <c r="P90" s="14"/>
    </row>
    <row r="91" spans="2:16" x14ac:dyDescent="0.25">
      <c r="B91" s="12"/>
      <c r="C91" s="13"/>
      <c r="D91" s="13"/>
      <c r="E91" s="13"/>
      <c r="F91" s="13"/>
      <c r="G91" s="13"/>
      <c r="H91" s="18" t="s">
        <v>159</v>
      </c>
      <c r="I91" s="13"/>
      <c r="J91" s="13"/>
      <c r="K91" s="23"/>
      <c r="L91" s="13"/>
      <c r="M91" s="13"/>
      <c r="N91" s="23"/>
      <c r="O91" s="13"/>
      <c r="P91" s="14"/>
    </row>
    <row r="92" spans="2:16" x14ac:dyDescent="0.25">
      <c r="B92" s="12"/>
      <c r="C92" s="13"/>
      <c r="D92" s="13"/>
      <c r="E92" s="13"/>
      <c r="F92" s="13"/>
      <c r="G92" s="13"/>
      <c r="H92" s="18" t="s">
        <v>23</v>
      </c>
      <c r="I92" s="13"/>
      <c r="J92" s="13"/>
      <c r="K92" s="23"/>
      <c r="L92" s="13"/>
      <c r="M92" s="13"/>
      <c r="N92" s="23"/>
      <c r="O92" s="13"/>
      <c r="P92" s="14"/>
    </row>
    <row r="93" spans="2:16" ht="7.5" customHeight="1" x14ac:dyDescent="0.25">
      <c r="B93" s="12"/>
      <c r="C93" s="13"/>
      <c r="D93" s="13"/>
      <c r="E93" s="13"/>
      <c r="F93" s="13"/>
      <c r="G93" s="13"/>
      <c r="H93" s="66"/>
      <c r="I93" s="13"/>
      <c r="J93" s="13"/>
      <c r="K93" s="13"/>
      <c r="L93" s="13"/>
      <c r="M93" s="13"/>
      <c r="N93" s="13"/>
      <c r="O93" s="13"/>
      <c r="P93" s="14"/>
    </row>
    <row r="94" spans="2:16" x14ac:dyDescent="0.25">
      <c r="B94" s="12"/>
      <c r="C94" s="13"/>
      <c r="D94" s="13"/>
      <c r="E94" s="13"/>
      <c r="F94" s="13"/>
      <c r="G94" s="13"/>
      <c r="H94" s="17" t="s">
        <v>18</v>
      </c>
      <c r="I94" s="13"/>
      <c r="J94" s="13"/>
      <c r="K94" s="13"/>
      <c r="L94" s="13"/>
      <c r="M94" s="13"/>
      <c r="N94" s="23"/>
      <c r="O94" s="13"/>
      <c r="P94" s="14"/>
    </row>
    <row r="95" spans="2:16" ht="15.75" x14ac:dyDescent="0.25">
      <c r="B95" s="12"/>
      <c r="C95" s="67" t="s">
        <v>24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4"/>
    </row>
    <row r="96" spans="2:16" ht="18" customHeight="1" x14ac:dyDescent="0.25">
      <c r="B96" s="53"/>
      <c r="C96" s="155" t="s">
        <v>25</v>
      </c>
      <c r="D96" s="155"/>
      <c r="E96" s="155"/>
      <c r="F96" s="155"/>
      <c r="G96" s="45"/>
      <c r="H96" s="13"/>
      <c r="I96" s="13"/>
      <c r="J96" s="13"/>
      <c r="K96" s="13"/>
      <c r="L96" s="13"/>
      <c r="M96" s="13"/>
      <c r="N96" s="192" t="s">
        <v>160</v>
      </c>
      <c r="O96" s="13"/>
      <c r="P96" s="14"/>
    </row>
    <row r="97" spans="2:16" ht="18" customHeight="1" x14ac:dyDescent="0.25">
      <c r="B97" s="12"/>
      <c r="C97" s="155"/>
      <c r="D97" s="155"/>
      <c r="E97" s="155"/>
      <c r="F97" s="155"/>
      <c r="G97" s="45"/>
      <c r="H97" s="13"/>
      <c r="I97" s="13"/>
      <c r="J97" s="13"/>
      <c r="K97" s="79" t="s">
        <v>29</v>
      </c>
      <c r="L97" s="79" t="s">
        <v>30</v>
      </c>
      <c r="M97" s="79" t="s">
        <v>18</v>
      </c>
      <c r="N97" s="192"/>
      <c r="O97" s="13"/>
      <c r="P97" s="14"/>
    </row>
    <row r="98" spans="2:16" ht="18" customHeight="1" x14ac:dyDescent="0.25">
      <c r="B98" s="36"/>
      <c r="C98" s="155"/>
      <c r="D98" s="155"/>
      <c r="E98" s="155"/>
      <c r="F98" s="155"/>
      <c r="G98" s="45"/>
      <c r="H98" s="13"/>
      <c r="I98" s="18" t="s">
        <v>35</v>
      </c>
      <c r="J98" s="13"/>
      <c r="K98" s="133">
        <f>IF($E$44="","",VLOOKUP($E$44,Base!$A$3:$BS$40,26,FALSE))</f>
        <v>3</v>
      </c>
      <c r="L98" s="133">
        <f>IF($E$44="","",VLOOKUP($E$44,Base!$A$3:$BS$40,27,FALSE))</f>
        <v>1</v>
      </c>
      <c r="M98" s="133">
        <f>SUM(K98:L98)</f>
        <v>4</v>
      </c>
      <c r="N98" s="133">
        <f>IF($E$44="","",VLOOKUP($E$44,Base!$A$3:$BS$40,28,FALSE))</f>
        <v>0</v>
      </c>
      <c r="O98" s="13"/>
      <c r="P98" s="14"/>
    </row>
    <row r="99" spans="2:16" ht="18" customHeight="1" x14ac:dyDescent="0.25">
      <c r="B99" s="12"/>
      <c r="C99" s="155"/>
      <c r="D99" s="155"/>
      <c r="E99" s="155"/>
      <c r="F99" s="155"/>
      <c r="G99" s="45"/>
      <c r="H99" s="13"/>
      <c r="I99" s="18" t="s">
        <v>37</v>
      </c>
      <c r="J99" s="13"/>
      <c r="K99" s="133">
        <f>IF($E$44="","",VLOOKUP($E$44,Base!$A$3:$BS$40,29,FALSE))</f>
        <v>34</v>
      </c>
      <c r="L99" s="133">
        <f>IF($E$44="","",VLOOKUP($E$44,Base!$A$3:$BS$40,30,FALSE))</f>
        <v>33</v>
      </c>
      <c r="M99" s="133">
        <f>SUM(K99:L99)</f>
        <v>67</v>
      </c>
      <c r="N99" s="133">
        <f>IF($E$44="","",VLOOKUP($E$44,Base!$A$3:$BS$40,31,FALSE))</f>
        <v>0</v>
      </c>
      <c r="O99" s="13"/>
      <c r="P99" s="14"/>
    </row>
    <row r="100" spans="2:16" x14ac:dyDescent="0.25">
      <c r="B100" s="33"/>
      <c r="C100" s="68" t="s">
        <v>26</v>
      </c>
      <c r="D100" s="13"/>
      <c r="E100" s="13"/>
      <c r="F100" s="13"/>
      <c r="G100" s="13"/>
      <c r="H100" s="13"/>
      <c r="I100" s="18" t="s">
        <v>38</v>
      </c>
      <c r="J100" s="13"/>
      <c r="K100" s="133">
        <f>IF($E$44="","",VLOOKUP($E$44,Base!$A$3:$BS$40,32,FALSE))</f>
        <v>7</v>
      </c>
      <c r="L100" s="133">
        <f>IF($E$44="","",VLOOKUP($E$44,Base!$A$3:$BS$40,33,FALSE))</f>
        <v>3</v>
      </c>
      <c r="M100" s="133">
        <f>SUM(K100:L100)</f>
        <v>10</v>
      </c>
      <c r="N100" s="133">
        <f>IF($E$44="","",VLOOKUP($E$44,Base!$A$3:$BS$40,34,FALSE))</f>
        <v>2</v>
      </c>
      <c r="O100" s="13"/>
      <c r="P100" s="14"/>
    </row>
    <row r="101" spans="2:16" x14ac:dyDescent="0.25">
      <c r="B101" s="12"/>
      <c r="C101" s="156" t="s">
        <v>27</v>
      </c>
      <c r="D101" s="156"/>
      <c r="E101" s="156"/>
      <c r="F101" s="156"/>
      <c r="G101" s="69"/>
      <c r="H101" s="13"/>
      <c r="I101" s="13"/>
      <c r="J101" s="13"/>
      <c r="K101" s="13"/>
      <c r="L101" s="13"/>
      <c r="M101" s="13"/>
      <c r="N101" s="13"/>
      <c r="O101" s="13"/>
      <c r="P101" s="14"/>
    </row>
    <row r="102" spans="2:16" x14ac:dyDescent="0.25">
      <c r="B102" s="12"/>
      <c r="C102" s="156"/>
      <c r="D102" s="156"/>
      <c r="E102" s="156"/>
      <c r="F102" s="156"/>
      <c r="G102" s="69"/>
      <c r="H102" s="13"/>
      <c r="I102" s="70" t="s">
        <v>28</v>
      </c>
      <c r="J102" s="71"/>
      <c r="K102" s="119">
        <f>SUM(K98:K100)</f>
        <v>44</v>
      </c>
      <c r="L102" s="119">
        <f>SUM(L98:L100)</f>
        <v>37</v>
      </c>
      <c r="M102" s="119">
        <f>SUM(M98:M100)</f>
        <v>81</v>
      </c>
      <c r="N102" s="119">
        <f>SUM(N98:N100)</f>
        <v>2</v>
      </c>
      <c r="O102" s="13"/>
      <c r="P102" s="14"/>
    </row>
    <row r="103" spans="2:16" x14ac:dyDescent="0.25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4"/>
    </row>
    <row r="104" spans="2:16" x14ac:dyDescent="0.25">
      <c r="B104" s="12"/>
      <c r="C104" s="72" t="s">
        <v>31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4"/>
    </row>
    <row r="105" spans="2:16" ht="15.75" thickBot="1" x14ac:dyDescent="0.3">
      <c r="B105" s="25"/>
      <c r="C105" s="73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8"/>
    </row>
    <row r="106" spans="2:16" x14ac:dyDescent="0.25">
      <c r="C106" s="7"/>
    </row>
    <row r="107" spans="2:16" ht="15.75" thickBot="1" x14ac:dyDescent="0.3"/>
    <row r="108" spans="2:16" ht="15.75" x14ac:dyDescent="0.25"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30">
        <v>911.1</v>
      </c>
      <c r="P108" s="11"/>
    </row>
    <row r="109" spans="2:16" ht="15.75" customHeight="1" x14ac:dyDescent="0.25">
      <c r="B109" s="12"/>
      <c r="C109" s="206" t="s">
        <v>32</v>
      </c>
      <c r="D109" s="206"/>
      <c r="E109" s="206"/>
      <c r="F109" s="206"/>
      <c r="G109" s="62"/>
      <c r="H109" s="13"/>
      <c r="I109" s="13"/>
      <c r="J109" s="13"/>
      <c r="K109" s="13"/>
      <c r="L109" s="13"/>
      <c r="M109" s="13"/>
      <c r="N109" s="13"/>
      <c r="O109" s="123" t="s">
        <v>14</v>
      </c>
      <c r="P109" s="14"/>
    </row>
    <row r="110" spans="2:16" ht="15.75" x14ac:dyDescent="0.25">
      <c r="B110" s="33"/>
      <c r="C110" s="206"/>
      <c r="D110" s="206"/>
      <c r="E110" s="206"/>
      <c r="F110" s="206"/>
      <c r="G110" s="62"/>
      <c r="H110" s="13"/>
      <c r="I110" s="13"/>
      <c r="J110" s="13"/>
      <c r="K110" s="13"/>
      <c r="L110" s="13"/>
      <c r="M110" s="13"/>
      <c r="N110" s="13"/>
      <c r="O110" s="13"/>
      <c r="P110" s="14"/>
    </row>
    <row r="111" spans="2:16" ht="15.75" x14ac:dyDescent="0.25">
      <c r="B111" s="33"/>
      <c r="C111" s="206"/>
      <c r="D111" s="206"/>
      <c r="E111" s="206"/>
      <c r="F111" s="206"/>
      <c r="G111" s="62"/>
      <c r="H111" s="13"/>
      <c r="I111" s="13"/>
      <c r="J111" s="13"/>
      <c r="K111" s="13"/>
      <c r="L111" s="13"/>
      <c r="M111" s="13"/>
      <c r="N111" s="13"/>
      <c r="O111" s="207" t="s">
        <v>160</v>
      </c>
      <c r="P111" s="14"/>
    </row>
    <row r="112" spans="2:16" x14ac:dyDescent="0.25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79" t="s">
        <v>29</v>
      </c>
      <c r="M112" s="79" t="s">
        <v>30</v>
      </c>
      <c r="N112" s="79" t="s">
        <v>18</v>
      </c>
      <c r="O112" s="207"/>
      <c r="P112" s="14"/>
    </row>
    <row r="113" spans="2:16" ht="17.25" customHeight="1" x14ac:dyDescent="0.25">
      <c r="B113" s="12"/>
      <c r="C113" s="155" t="s">
        <v>33</v>
      </c>
      <c r="D113" s="155"/>
      <c r="E113" s="155"/>
      <c r="F113" s="155"/>
      <c r="G113" s="45"/>
      <c r="H113" s="21" t="s">
        <v>35</v>
      </c>
      <c r="I113" s="13"/>
      <c r="J113" s="13"/>
      <c r="K113" s="13"/>
      <c r="L113" s="133">
        <f>IF($E$44="","",VLOOKUP($E$44,Base!$A$3:$BS$40,35,FALSE))</f>
        <v>14</v>
      </c>
      <c r="M113" s="133">
        <f>IF($E$44="","",VLOOKUP($E$44,Base!$A$3:$BS$40,36,FALSE))</f>
        <v>14</v>
      </c>
      <c r="N113" s="133">
        <f>SUM(L113:M113)</f>
        <v>28</v>
      </c>
      <c r="O113" s="133">
        <f>IF($E$44="","",VLOOKUP($E$44,Base!$A$3:$BS$40,37,FALSE))</f>
        <v>0</v>
      </c>
      <c r="P113" s="14"/>
    </row>
    <row r="114" spans="2:16" ht="17.25" customHeight="1" x14ac:dyDescent="0.25">
      <c r="B114" s="55"/>
      <c r="C114" s="155"/>
      <c r="D114" s="155"/>
      <c r="E114" s="155"/>
      <c r="F114" s="155"/>
      <c r="G114" s="45"/>
      <c r="H114" s="18" t="s">
        <v>162</v>
      </c>
      <c r="I114" s="13"/>
      <c r="J114" s="13"/>
      <c r="K114" s="13"/>
      <c r="L114" s="133">
        <f>IF($E$44="","",VLOOKUP($E$44,Base!$A$3:$BS$40,38,FALSE))</f>
        <v>387</v>
      </c>
      <c r="M114" s="133">
        <f>IF($E$44="","",VLOOKUP($E$44,Base!$A$3:$BS$40,39,FALSE))</f>
        <v>302</v>
      </c>
      <c r="N114" s="133">
        <f t="shared" ref="N114:N119" si="0">SUM(L114:M114)</f>
        <v>689</v>
      </c>
      <c r="O114" s="133">
        <f>IF($E$44="","",VLOOKUP($E$44,Base!$A$3:$BS$40,40,FALSE))</f>
        <v>0</v>
      </c>
      <c r="P114" s="14"/>
    </row>
    <row r="115" spans="2:16" ht="17.25" customHeight="1" x14ac:dyDescent="0.25">
      <c r="B115" s="33"/>
      <c r="C115" s="155"/>
      <c r="D115" s="155"/>
      <c r="E115" s="155"/>
      <c r="F115" s="155"/>
      <c r="G115" s="45"/>
      <c r="H115" s="18" t="s">
        <v>78</v>
      </c>
      <c r="I115" s="13"/>
      <c r="J115" s="13"/>
      <c r="K115" s="13"/>
      <c r="L115" s="133">
        <f>IF($E$44="","",VLOOKUP($E$44,Base!$A$3:$BS$40,41,FALSE))</f>
        <v>0</v>
      </c>
      <c r="M115" s="133">
        <f>IF($E$44="","",VLOOKUP($E$44,Base!$A$3:$BS$40,42,FALSE))</f>
        <v>0</v>
      </c>
      <c r="N115" s="133">
        <f t="shared" si="0"/>
        <v>0</v>
      </c>
      <c r="O115" s="133">
        <f>IF($E$44="","",VLOOKUP($E$44,Base!$A$3:$BS$40,43,FALSE))</f>
        <v>0</v>
      </c>
      <c r="P115" s="14"/>
    </row>
    <row r="116" spans="2:16" ht="17.25" customHeight="1" x14ac:dyDescent="0.25">
      <c r="B116" s="33"/>
      <c r="C116" s="155"/>
      <c r="D116" s="155"/>
      <c r="E116" s="155"/>
      <c r="F116" s="155"/>
      <c r="G116" s="45"/>
      <c r="H116" s="18" t="s">
        <v>79</v>
      </c>
      <c r="I116" s="13"/>
      <c r="J116" s="13"/>
      <c r="K116" s="13"/>
      <c r="L116" s="133">
        <f>IF($E$44="","",VLOOKUP($E$44,Base!$A$3:$BS$40,44,FALSE))</f>
        <v>0</v>
      </c>
      <c r="M116" s="133">
        <f>IF($E$44="","",VLOOKUP($E$44,Base!$A$3:$BS$40,45,FALSE))</f>
        <v>0</v>
      </c>
      <c r="N116" s="133">
        <f t="shared" si="0"/>
        <v>0</v>
      </c>
      <c r="O116" s="133">
        <f>IF($E$44="","",VLOOKUP($E$44,Base!$A$3:$BS$40,46,FALSE))</f>
        <v>0</v>
      </c>
      <c r="P116" s="14"/>
    </row>
    <row r="117" spans="2:16" ht="17.25" customHeight="1" x14ac:dyDescent="0.25">
      <c r="B117" s="12"/>
      <c r="C117" s="68" t="s">
        <v>26</v>
      </c>
      <c r="D117" s="13"/>
      <c r="E117" s="13"/>
      <c r="F117" s="13"/>
      <c r="G117" s="13"/>
      <c r="H117" s="58" t="s">
        <v>36</v>
      </c>
      <c r="I117" s="13"/>
      <c r="J117" s="13"/>
      <c r="K117" s="13"/>
      <c r="L117" s="133">
        <f>IF($E$44="","",VLOOKUP($E$44,Base!$A$3:$BS$40,47,FALSE))</f>
        <v>0</v>
      </c>
      <c r="M117" s="133">
        <f>IF($E$44="","",VLOOKUP($E$44,Base!$A$3:$BS$40,48,FALSE))</f>
        <v>0</v>
      </c>
      <c r="N117" s="133">
        <f t="shared" si="0"/>
        <v>0</v>
      </c>
      <c r="O117" s="133">
        <f>IF($E$44="","",VLOOKUP($E$44,Base!$A$3:$BS$40,49,FALSE))</f>
        <v>0</v>
      </c>
      <c r="P117" s="14"/>
    </row>
    <row r="118" spans="2:16" ht="17.25" customHeight="1" x14ac:dyDescent="0.25">
      <c r="B118" s="33"/>
      <c r="C118" s="155" t="s">
        <v>34</v>
      </c>
      <c r="D118" s="155"/>
      <c r="E118" s="155"/>
      <c r="F118" s="155"/>
      <c r="G118" s="45"/>
      <c r="H118" s="84" t="s">
        <v>37</v>
      </c>
      <c r="I118" s="13"/>
      <c r="J118" s="13"/>
      <c r="K118" s="13"/>
      <c r="L118" s="133">
        <f>IF($E$44="","",VLOOKUP($E$44,Base!$A$3:$BS$40,50,FALSE))</f>
        <v>37</v>
      </c>
      <c r="M118" s="133">
        <f>IF($E$44="","",VLOOKUP($E$44,Base!$A$3:$BS$40,51,FALSE))</f>
        <v>77</v>
      </c>
      <c r="N118" s="133">
        <f t="shared" si="0"/>
        <v>114</v>
      </c>
      <c r="O118" s="133">
        <f>IF($E$44="","",VLOOKUP($E$44,Base!$A$3:$BS$40,52,FALSE))</f>
        <v>0</v>
      </c>
      <c r="P118" s="14"/>
    </row>
    <row r="119" spans="2:16" ht="17.25" customHeight="1" x14ac:dyDescent="0.25">
      <c r="B119" s="12"/>
      <c r="C119" s="155"/>
      <c r="D119" s="155"/>
      <c r="E119" s="155"/>
      <c r="F119" s="155"/>
      <c r="G119" s="45"/>
      <c r="H119" s="21" t="s">
        <v>38</v>
      </c>
      <c r="I119" s="13"/>
      <c r="J119" s="13"/>
      <c r="K119" s="13"/>
      <c r="L119" s="133">
        <f>IF($E$44="","",VLOOKUP($E$44,Base!$A$3:$BS$40,53,FALSE))</f>
        <v>14</v>
      </c>
      <c r="M119" s="133">
        <f>IF($E$44="","",VLOOKUP($E$44,Base!$A$3:$BS$40,54,FALSE))</f>
        <v>12</v>
      </c>
      <c r="N119" s="133">
        <f t="shared" si="0"/>
        <v>26</v>
      </c>
      <c r="O119" s="133">
        <f>IF($E$44="","",VLOOKUP($E$44,Base!$A$3:$BS$40,55,FALSE))</f>
        <v>0</v>
      </c>
      <c r="P119" s="14"/>
    </row>
    <row r="120" spans="2:16" ht="15" customHeight="1" x14ac:dyDescent="0.25">
      <c r="B120" s="12"/>
      <c r="C120" s="155" t="s">
        <v>161</v>
      </c>
      <c r="D120" s="155"/>
      <c r="E120" s="155"/>
      <c r="F120" s="155"/>
      <c r="G120" s="45"/>
      <c r="H120" s="13"/>
      <c r="I120" s="13"/>
      <c r="J120" s="13"/>
      <c r="K120" s="13"/>
      <c r="L120" s="13"/>
      <c r="M120" s="13"/>
      <c r="N120" s="13"/>
      <c r="O120" s="13"/>
      <c r="P120" s="14"/>
    </row>
    <row r="121" spans="2:16" ht="15" customHeight="1" x14ac:dyDescent="0.25">
      <c r="B121" s="39"/>
      <c r="C121" s="155"/>
      <c r="D121" s="155"/>
      <c r="E121" s="155"/>
      <c r="F121" s="155"/>
      <c r="G121" s="45"/>
      <c r="H121" s="208" t="s">
        <v>39</v>
      </c>
      <c r="I121" s="208"/>
      <c r="J121" s="208"/>
      <c r="K121" s="208"/>
      <c r="L121" s="13"/>
      <c r="M121" s="13"/>
      <c r="N121" s="13"/>
      <c r="O121" s="13"/>
      <c r="P121" s="14"/>
    </row>
    <row r="122" spans="2:16" ht="15" customHeight="1" x14ac:dyDescent="0.25">
      <c r="B122" s="12"/>
      <c r="C122" s="155"/>
      <c r="D122" s="155"/>
      <c r="E122" s="155"/>
      <c r="F122" s="155"/>
      <c r="G122" s="45"/>
      <c r="H122" s="208"/>
      <c r="I122" s="208"/>
      <c r="J122" s="208"/>
      <c r="K122" s="208"/>
      <c r="L122" s="133">
        <f>SUM(L113:L119)</f>
        <v>452</v>
      </c>
      <c r="M122" s="133">
        <f>SUM(M113:M119)</f>
        <v>405</v>
      </c>
      <c r="N122" s="133">
        <f>SUM(N113:N119)</f>
        <v>857</v>
      </c>
      <c r="O122" s="133">
        <f>SUM(O113:O119)</f>
        <v>0</v>
      </c>
      <c r="P122" s="14"/>
    </row>
    <row r="123" spans="2:16" x14ac:dyDescent="0.25">
      <c r="B123" s="12"/>
      <c r="C123" s="13"/>
      <c r="D123" s="13"/>
      <c r="E123" s="13"/>
      <c r="F123" s="13"/>
      <c r="G123" s="13"/>
      <c r="H123" s="208"/>
      <c r="I123" s="208"/>
      <c r="J123" s="208"/>
      <c r="K123" s="208"/>
      <c r="L123" s="13"/>
      <c r="M123" s="13"/>
      <c r="N123" s="13"/>
      <c r="O123" s="13"/>
      <c r="P123" s="14"/>
    </row>
    <row r="124" spans="2:16" x14ac:dyDescent="0.25">
      <c r="B124" s="33"/>
      <c r="C124" s="13"/>
      <c r="D124" s="13"/>
      <c r="E124" s="13"/>
      <c r="F124" s="13"/>
      <c r="G124" s="13"/>
      <c r="H124" s="208"/>
      <c r="I124" s="208"/>
      <c r="J124" s="208"/>
      <c r="K124" s="208"/>
      <c r="L124" s="13"/>
      <c r="M124" s="13"/>
      <c r="N124" s="13"/>
      <c r="O124" s="13"/>
      <c r="P124" s="14"/>
    </row>
    <row r="125" spans="2:16" ht="15" customHeight="1" x14ac:dyDescent="0.25">
      <c r="B125" s="33"/>
      <c r="C125" s="13"/>
      <c r="D125" s="13"/>
      <c r="E125" s="13"/>
      <c r="F125" s="13"/>
      <c r="G125" s="13"/>
      <c r="H125" s="208" t="s">
        <v>40</v>
      </c>
      <c r="I125" s="208"/>
      <c r="J125" s="208"/>
      <c r="K125" s="208"/>
      <c r="L125" s="13"/>
      <c r="M125" s="13"/>
      <c r="N125" s="13"/>
      <c r="O125" s="13"/>
      <c r="P125" s="14"/>
    </row>
    <row r="126" spans="2:16" x14ac:dyDescent="0.25">
      <c r="B126" s="33"/>
      <c r="C126" s="13"/>
      <c r="D126" s="13"/>
      <c r="E126" s="13"/>
      <c r="F126" s="13"/>
      <c r="G126" s="13"/>
      <c r="H126" s="208"/>
      <c r="I126" s="208"/>
      <c r="J126" s="208"/>
      <c r="K126" s="208"/>
      <c r="L126" s="133">
        <f>+K102+L122</f>
        <v>496</v>
      </c>
      <c r="M126" s="133">
        <f>+L102+M122</f>
        <v>442</v>
      </c>
      <c r="N126" s="133">
        <f>+M102+N122</f>
        <v>938</v>
      </c>
      <c r="O126" s="133">
        <f>+N102+O122</f>
        <v>2</v>
      </c>
      <c r="P126" s="14"/>
    </row>
    <row r="127" spans="2:16" x14ac:dyDescent="0.25">
      <c r="B127" s="33"/>
      <c r="C127" s="13"/>
      <c r="D127" s="13"/>
      <c r="E127" s="13"/>
      <c r="F127" s="13"/>
      <c r="G127" s="13"/>
      <c r="H127" s="208"/>
      <c r="I127" s="208"/>
      <c r="J127" s="208"/>
      <c r="K127" s="208"/>
      <c r="L127" s="13"/>
      <c r="M127" s="13"/>
      <c r="N127" s="13"/>
      <c r="O127" s="13"/>
      <c r="P127" s="14"/>
    </row>
    <row r="128" spans="2:16" x14ac:dyDescent="0.25">
      <c r="B128" s="33"/>
      <c r="C128" s="13"/>
      <c r="D128" s="13"/>
      <c r="E128" s="13"/>
      <c r="F128" s="13"/>
      <c r="G128" s="13"/>
      <c r="H128" s="208"/>
      <c r="I128" s="208"/>
      <c r="J128" s="208"/>
      <c r="K128" s="208"/>
      <c r="L128" s="13"/>
      <c r="M128" s="13"/>
      <c r="N128" s="13"/>
      <c r="O128" s="13"/>
      <c r="P128" s="14"/>
    </row>
    <row r="129" spans="2:16" x14ac:dyDescent="0.25">
      <c r="B129" s="33"/>
      <c r="C129" s="13"/>
      <c r="D129" s="13"/>
      <c r="E129" s="13"/>
      <c r="F129" s="13"/>
      <c r="G129" s="13"/>
      <c r="H129" s="74"/>
      <c r="I129" s="74"/>
      <c r="J129" s="74"/>
      <c r="K129" s="74"/>
      <c r="L129" s="13"/>
      <c r="M129" s="13"/>
      <c r="N129" s="13"/>
      <c r="O129" s="13"/>
      <c r="P129" s="14"/>
    </row>
    <row r="130" spans="2:16" x14ac:dyDescent="0.25">
      <c r="B130" s="33"/>
      <c r="C130" s="13"/>
      <c r="D130" s="13"/>
      <c r="E130" s="13"/>
      <c r="F130" s="13"/>
      <c r="G130" s="13"/>
      <c r="H130" s="74"/>
      <c r="I130" s="74"/>
      <c r="J130" s="74"/>
      <c r="K130" s="74"/>
      <c r="L130" s="13"/>
      <c r="M130" s="13"/>
      <c r="N130" s="13"/>
      <c r="O130" s="13"/>
      <c r="P130" s="14"/>
    </row>
    <row r="131" spans="2:16" ht="17.25" customHeight="1" x14ac:dyDescent="0.25">
      <c r="B131" s="75"/>
      <c r="C131" s="156" t="s">
        <v>41</v>
      </c>
      <c r="D131" s="156"/>
      <c r="E131" s="156"/>
      <c r="F131" s="156"/>
      <c r="G131" s="13"/>
      <c r="H131" s="68" t="s">
        <v>42</v>
      </c>
      <c r="I131" s="13"/>
      <c r="J131" s="13"/>
      <c r="K131" s="163" t="s">
        <v>43</v>
      </c>
      <c r="L131" s="163"/>
      <c r="M131" s="163"/>
      <c r="N131" s="13"/>
      <c r="O131" s="13"/>
      <c r="P131" s="14"/>
    </row>
    <row r="132" spans="2:16" ht="17.25" customHeight="1" x14ac:dyDescent="0.25">
      <c r="B132" s="12"/>
      <c r="C132" s="156"/>
      <c r="D132" s="156"/>
      <c r="E132" s="156"/>
      <c r="F132" s="156"/>
      <c r="G132" s="13"/>
      <c r="H132" s="76" t="s">
        <v>44</v>
      </c>
      <c r="I132" s="13"/>
      <c r="J132" s="13"/>
      <c r="K132" s="13"/>
      <c r="L132" s="133">
        <f>IF($E$44="","",VLOOKUP($E$44,Base!$A$3:$BS$40,56,FALSE))</f>
        <v>0</v>
      </c>
      <c r="M132" s="13"/>
      <c r="N132" s="13"/>
      <c r="O132" s="13"/>
      <c r="P132" s="14"/>
    </row>
    <row r="133" spans="2:16" ht="17.25" customHeight="1" x14ac:dyDescent="0.25">
      <c r="B133" s="12"/>
      <c r="C133" s="156"/>
      <c r="D133" s="156"/>
      <c r="E133" s="156"/>
      <c r="F133" s="156"/>
      <c r="G133" s="13"/>
      <c r="H133" s="76" t="s">
        <v>45</v>
      </c>
      <c r="I133" s="13"/>
      <c r="J133" s="13"/>
      <c r="K133" s="13"/>
      <c r="L133" s="133">
        <f>IF($E$44="","",VLOOKUP($E$44,Base!$A$3:$BS$40,57,FALSE))</f>
        <v>0</v>
      </c>
      <c r="M133" s="13"/>
      <c r="N133" s="13"/>
      <c r="O133" s="13"/>
      <c r="P133" s="14"/>
    </row>
    <row r="134" spans="2:16" ht="17.25" customHeight="1" x14ac:dyDescent="0.25">
      <c r="B134" s="77"/>
      <c r="C134" s="156"/>
      <c r="D134" s="156"/>
      <c r="E134" s="156"/>
      <c r="F134" s="156"/>
      <c r="G134" s="13"/>
      <c r="H134" s="76" t="s">
        <v>46</v>
      </c>
      <c r="I134" s="13"/>
      <c r="J134" s="13"/>
      <c r="K134" s="13"/>
      <c r="L134" s="133">
        <f>IF($E$44="","",VLOOKUP($E$44,Base!$A$3:$BS$40,58,FALSE))</f>
        <v>0</v>
      </c>
      <c r="M134" s="13"/>
      <c r="N134" s="13"/>
      <c r="O134" s="13"/>
      <c r="P134" s="14"/>
    </row>
    <row r="135" spans="2:16" ht="17.25" customHeight="1" x14ac:dyDescent="0.25">
      <c r="B135" s="12"/>
      <c r="C135" s="13"/>
      <c r="D135" s="13"/>
      <c r="E135" s="13"/>
      <c r="F135" s="13"/>
      <c r="G135" s="13"/>
      <c r="H135" s="76" t="s">
        <v>47</v>
      </c>
      <c r="I135" s="13"/>
      <c r="J135" s="13"/>
      <c r="K135" s="13"/>
      <c r="L135" s="133">
        <f>IF($E$44="","",VLOOKUP($E$44,Base!$A$3:$BS$40,59,FALSE))</f>
        <v>0</v>
      </c>
      <c r="M135" s="13"/>
      <c r="N135" s="13"/>
      <c r="O135" s="13"/>
      <c r="P135" s="14"/>
    </row>
    <row r="136" spans="2:16" ht="17.25" customHeight="1" x14ac:dyDescent="0.25">
      <c r="B136" s="64"/>
      <c r="C136" s="13"/>
      <c r="D136" s="13"/>
      <c r="E136" s="13"/>
      <c r="F136" s="13"/>
      <c r="G136" s="13"/>
      <c r="H136" s="76" t="s">
        <v>48</v>
      </c>
      <c r="I136" s="13"/>
      <c r="J136" s="13"/>
      <c r="K136" s="13"/>
      <c r="L136" s="133">
        <f>IF($E$44="","",VLOOKUP($E$44,Base!$A$3:$BS$40,60,FALSE))</f>
        <v>0</v>
      </c>
      <c r="M136" s="13"/>
      <c r="N136" s="13"/>
      <c r="O136" s="13"/>
      <c r="P136" s="14"/>
    </row>
    <row r="137" spans="2:16" ht="17.25" customHeight="1" x14ac:dyDescent="0.25">
      <c r="B137" s="12"/>
      <c r="C137" s="13"/>
      <c r="D137" s="13"/>
      <c r="E137" s="13"/>
      <c r="F137" s="13"/>
      <c r="G137" s="13"/>
      <c r="H137" s="76" t="s">
        <v>49</v>
      </c>
      <c r="I137" s="13"/>
      <c r="J137" s="13"/>
      <c r="K137" s="13"/>
      <c r="L137" s="133">
        <f>IF($E$44="","",VLOOKUP($E$44,Base!$A$3:$BS$40,61,FALSE))</f>
        <v>0</v>
      </c>
      <c r="M137" s="13"/>
      <c r="N137" s="13"/>
      <c r="O137" s="13"/>
      <c r="P137" s="14"/>
    </row>
    <row r="138" spans="2:16" ht="17.25" customHeight="1" x14ac:dyDescent="0.25">
      <c r="B138" s="12"/>
      <c r="C138" s="13"/>
      <c r="D138" s="13"/>
      <c r="E138" s="13"/>
      <c r="F138" s="13"/>
      <c r="G138" s="13"/>
      <c r="H138" s="78"/>
      <c r="I138" s="13"/>
      <c r="J138" s="13"/>
      <c r="K138" s="13"/>
      <c r="L138" s="13"/>
      <c r="M138" s="13"/>
      <c r="N138" s="13"/>
      <c r="O138" s="13"/>
      <c r="P138" s="14"/>
    </row>
    <row r="139" spans="2:16" ht="17.25" customHeight="1" x14ac:dyDescent="0.25">
      <c r="B139" s="12"/>
      <c r="C139" s="13"/>
      <c r="D139" s="13"/>
      <c r="E139" s="13"/>
      <c r="F139" s="13"/>
      <c r="G139" s="13"/>
      <c r="H139" s="68" t="s">
        <v>18</v>
      </c>
      <c r="I139" s="13"/>
      <c r="J139" s="13"/>
      <c r="K139" s="13"/>
      <c r="L139" s="133">
        <f>SUM(L132:L137)</f>
        <v>0</v>
      </c>
      <c r="M139" s="13"/>
      <c r="N139" s="13"/>
      <c r="O139" s="13"/>
      <c r="P139" s="14"/>
    </row>
    <row r="140" spans="2:16" ht="15.75" thickBot="1" x14ac:dyDescent="0.3">
      <c r="B140" s="25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8"/>
    </row>
    <row r="142" spans="2:16" ht="15.75" thickBot="1" x14ac:dyDescent="0.3"/>
    <row r="143" spans="2:16" ht="15.75" x14ac:dyDescent="0.25"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30">
        <v>911.1</v>
      </c>
      <c r="P143" s="11"/>
    </row>
    <row r="144" spans="2:16" x14ac:dyDescent="0.25"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23" t="s">
        <v>14</v>
      </c>
      <c r="P144" s="14"/>
    </row>
    <row r="145" spans="2:16" ht="15.75" x14ac:dyDescent="0.25">
      <c r="B145" s="12"/>
      <c r="C145" s="67" t="s">
        <v>50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4"/>
    </row>
    <row r="146" spans="2:16" x14ac:dyDescent="0.25">
      <c r="B146" s="12"/>
      <c r="C146" s="155" t="s">
        <v>51</v>
      </c>
      <c r="D146" s="155"/>
      <c r="E146" s="155"/>
      <c r="F146" s="155"/>
      <c r="G146" s="13"/>
      <c r="H146" s="13"/>
      <c r="I146" s="13"/>
      <c r="J146" s="13"/>
      <c r="K146" s="13"/>
      <c r="L146" s="179" t="s">
        <v>52</v>
      </c>
      <c r="M146" s="179"/>
      <c r="N146" s="13"/>
      <c r="O146" s="13"/>
      <c r="P146" s="14"/>
    </row>
    <row r="147" spans="2:16" ht="19.5" customHeight="1" x14ac:dyDescent="0.25">
      <c r="B147" s="12"/>
      <c r="C147" s="155"/>
      <c r="D147" s="155"/>
      <c r="E147" s="155"/>
      <c r="F147" s="155"/>
      <c r="G147" s="13"/>
      <c r="H147" s="13"/>
      <c r="I147" s="13"/>
      <c r="J147" s="58" t="s">
        <v>163</v>
      </c>
      <c r="K147" s="13"/>
      <c r="L147" s="153">
        <f>IF($E$44="","",VLOOKUP($E$44,Base!$A$3:$BS$40,63,FALSE))</f>
        <v>51621</v>
      </c>
      <c r="M147" s="154"/>
      <c r="N147" s="13"/>
      <c r="O147" s="13"/>
      <c r="P147" s="14"/>
    </row>
    <row r="148" spans="2:16" ht="19.5" customHeight="1" x14ac:dyDescent="0.25">
      <c r="B148" s="12"/>
      <c r="C148" s="13"/>
      <c r="D148" s="13"/>
      <c r="E148" s="13"/>
      <c r="F148" s="13"/>
      <c r="G148" s="13"/>
      <c r="H148" s="13"/>
      <c r="I148" s="13"/>
      <c r="J148" s="58" t="s">
        <v>164</v>
      </c>
      <c r="K148" s="13"/>
      <c r="L148" s="153">
        <f>IF($E$44="","",VLOOKUP($E$44,Base!$A$3:$BS$40,64,FALSE))</f>
        <v>52223</v>
      </c>
      <c r="M148" s="154"/>
      <c r="N148" s="13"/>
      <c r="O148" s="13"/>
      <c r="P148" s="14"/>
    </row>
    <row r="149" spans="2:16" ht="19.5" customHeight="1" x14ac:dyDescent="0.25">
      <c r="B149" s="12"/>
      <c r="C149" s="13"/>
      <c r="D149" s="13"/>
      <c r="E149" s="13"/>
      <c r="F149" s="13"/>
      <c r="G149" s="13"/>
      <c r="H149" s="13"/>
      <c r="I149" s="13"/>
      <c r="J149" s="58" t="s">
        <v>165</v>
      </c>
      <c r="K149" s="13"/>
      <c r="L149" s="153">
        <f>IF($E$44="","",VLOOKUP($E$44,Base!$A$3:$BS$40,65,FALSE))</f>
        <v>0</v>
      </c>
      <c r="M149" s="154"/>
      <c r="N149" s="13"/>
      <c r="O149" s="13"/>
      <c r="P149" s="14"/>
    </row>
    <row r="150" spans="2:16" ht="19.5" customHeight="1" x14ac:dyDescent="0.25">
      <c r="B150" s="33"/>
      <c r="C150" s="13"/>
      <c r="D150" s="13"/>
      <c r="E150" s="13"/>
      <c r="F150" s="13"/>
      <c r="G150" s="13"/>
      <c r="H150" s="13"/>
      <c r="I150" s="13"/>
      <c r="J150" s="21" t="s">
        <v>38</v>
      </c>
      <c r="K150" s="13"/>
      <c r="L150" s="153">
        <f>IF($E$44="","",VLOOKUP($E$44,Base!$A$3:$BS$40,66,FALSE))</f>
        <v>0</v>
      </c>
      <c r="M150" s="154"/>
      <c r="N150" s="13"/>
      <c r="O150" s="13"/>
      <c r="P150" s="14"/>
    </row>
    <row r="151" spans="2:16" ht="9.75" customHeight="1" x14ac:dyDescent="0.25">
      <c r="B151" s="80"/>
      <c r="C151" s="13"/>
      <c r="D151" s="13"/>
      <c r="E151" s="13"/>
      <c r="F151" s="13"/>
      <c r="G151" s="13"/>
      <c r="H151" s="13"/>
      <c r="I151" s="13"/>
      <c r="J151" s="13"/>
      <c r="K151" s="13"/>
      <c r="L151" s="149"/>
      <c r="M151" s="149"/>
      <c r="N151" s="13"/>
      <c r="O151" s="13"/>
      <c r="P151" s="14"/>
    </row>
    <row r="152" spans="2:16" ht="19.5" customHeight="1" x14ac:dyDescent="0.25">
      <c r="B152" s="12"/>
      <c r="C152" s="13"/>
      <c r="D152" s="13"/>
      <c r="E152" s="13"/>
      <c r="F152" s="13"/>
      <c r="G152" s="13"/>
      <c r="H152" s="13"/>
      <c r="I152" s="13"/>
      <c r="J152" s="91" t="s">
        <v>18</v>
      </c>
      <c r="K152" s="13"/>
      <c r="L152" s="153">
        <f>SUM(L147:M150)</f>
        <v>103844</v>
      </c>
      <c r="M152" s="154"/>
      <c r="N152" s="13"/>
      <c r="O152" s="13"/>
      <c r="P152" s="14"/>
    </row>
    <row r="153" spans="2:16" x14ac:dyDescent="0.25"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4"/>
    </row>
    <row r="154" spans="2:16" x14ac:dyDescent="0.25"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4"/>
    </row>
    <row r="155" spans="2:16" x14ac:dyDescent="0.25">
      <c r="B155" s="33"/>
      <c r="C155" s="155" t="s">
        <v>53</v>
      </c>
      <c r="D155" s="155"/>
      <c r="E155" s="155"/>
      <c r="F155" s="155"/>
      <c r="G155" s="13"/>
      <c r="H155" s="13"/>
      <c r="I155" s="13"/>
      <c r="J155" s="13"/>
      <c r="K155" s="13"/>
      <c r="L155" s="210" t="s">
        <v>54</v>
      </c>
      <c r="M155" s="210"/>
      <c r="N155" s="13"/>
      <c r="O155" s="13"/>
      <c r="P155" s="14"/>
    </row>
    <row r="156" spans="2:16" ht="19.5" customHeight="1" x14ac:dyDescent="0.25">
      <c r="B156" s="33"/>
      <c r="C156" s="155"/>
      <c r="D156" s="155"/>
      <c r="E156" s="155"/>
      <c r="F156" s="155"/>
      <c r="G156" s="13"/>
      <c r="H156" s="13"/>
      <c r="I156" s="13"/>
      <c r="J156" s="58" t="s">
        <v>44</v>
      </c>
      <c r="K156" s="13"/>
      <c r="L156" s="153">
        <f>IF($E$44="","",VLOOKUP($E$44,Base!$A$3:$BS$40,67,FALSE))</f>
        <v>71682</v>
      </c>
      <c r="M156" s="154"/>
      <c r="N156" s="13"/>
      <c r="O156" s="13"/>
      <c r="P156" s="14"/>
    </row>
    <row r="157" spans="2:16" ht="19.5" customHeight="1" x14ac:dyDescent="0.25">
      <c r="B157" s="12"/>
      <c r="C157" s="13"/>
      <c r="D157" s="13"/>
      <c r="E157" s="13"/>
      <c r="F157" s="13"/>
      <c r="G157" s="13"/>
      <c r="H157" s="13"/>
      <c r="I157" s="13"/>
      <c r="J157" s="58" t="s">
        <v>166</v>
      </c>
      <c r="K157" s="13"/>
      <c r="L157" s="153">
        <f>IF($E$44="","",VLOOKUP($E$44,Base!$A$3:$BS$40,68,FALSE))</f>
        <v>0</v>
      </c>
      <c r="M157" s="154"/>
      <c r="N157" s="13"/>
      <c r="O157" s="13"/>
      <c r="P157" s="14"/>
    </row>
    <row r="158" spans="2:16" ht="19.5" customHeight="1" x14ac:dyDescent="0.25">
      <c r="B158" s="33"/>
      <c r="C158" s="13"/>
      <c r="D158" s="13"/>
      <c r="E158" s="13"/>
      <c r="F158" s="13"/>
      <c r="G158" s="13"/>
      <c r="H158" s="13"/>
      <c r="I158" s="13"/>
      <c r="J158" s="58" t="s">
        <v>10</v>
      </c>
      <c r="K158" s="13"/>
      <c r="L158" s="153">
        <f>IF($E$44="","",VLOOKUP($E$44,Base!$A$3:$BS$40,69,FALSE))</f>
        <v>1412</v>
      </c>
      <c r="M158" s="154"/>
      <c r="N158" s="13"/>
      <c r="O158" s="13"/>
      <c r="P158" s="14"/>
    </row>
    <row r="159" spans="2:16" ht="19.5" customHeight="1" x14ac:dyDescent="0.25">
      <c r="B159" s="33"/>
      <c r="C159" s="13"/>
      <c r="D159" s="13"/>
      <c r="E159" s="13"/>
      <c r="F159" s="13"/>
      <c r="G159" s="13"/>
      <c r="H159" s="13"/>
      <c r="I159" s="13"/>
      <c r="J159" s="58" t="s">
        <v>167</v>
      </c>
      <c r="K159" s="13"/>
      <c r="L159" s="153">
        <f>IF($E$44="","",VLOOKUP($E$44,Base!$A$3:$BS$40,70,FALSE))</f>
        <v>30491</v>
      </c>
      <c r="M159" s="154"/>
      <c r="N159" s="13"/>
      <c r="O159" s="13"/>
      <c r="P159" s="14"/>
    </row>
    <row r="160" spans="2:16" ht="19.5" customHeight="1" x14ac:dyDescent="0.25">
      <c r="B160" s="33"/>
      <c r="C160" s="13"/>
      <c r="D160" s="13"/>
      <c r="E160" s="13"/>
      <c r="F160" s="13"/>
      <c r="G160" s="13"/>
      <c r="H160" s="13"/>
      <c r="I160" s="13"/>
      <c r="J160" s="58" t="s">
        <v>38</v>
      </c>
      <c r="K160" s="13"/>
      <c r="L160" s="153">
        <f>IF($E$44="","",VLOOKUP($E$44,Base!$A$3:$BS$40,71,FALSE))</f>
        <v>259</v>
      </c>
      <c r="M160" s="154"/>
      <c r="N160" s="13"/>
      <c r="O160" s="13"/>
      <c r="P160" s="14"/>
    </row>
    <row r="161" spans="2:16" ht="11.25" customHeight="1" x14ac:dyDescent="0.25">
      <c r="B161" s="3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4"/>
    </row>
    <row r="162" spans="2:16" ht="19.5" customHeight="1" x14ac:dyDescent="0.25">
      <c r="B162" s="39"/>
      <c r="C162" s="13"/>
      <c r="D162" s="13"/>
      <c r="E162" s="13"/>
      <c r="F162" s="13"/>
      <c r="G162" s="13"/>
      <c r="H162" s="13"/>
      <c r="I162" s="13"/>
      <c r="J162" s="17" t="s">
        <v>18</v>
      </c>
      <c r="K162" s="13"/>
      <c r="L162" s="153">
        <f>SUM(L156:M160)</f>
        <v>103844</v>
      </c>
      <c r="M162" s="154"/>
      <c r="N162" s="13"/>
      <c r="O162" s="13"/>
      <c r="P162" s="14"/>
    </row>
    <row r="163" spans="2:16" x14ac:dyDescent="0.25">
      <c r="B163" s="39"/>
      <c r="C163" s="13"/>
      <c r="D163" s="13"/>
      <c r="E163" s="13"/>
      <c r="F163" s="13"/>
      <c r="G163" s="13"/>
      <c r="H163" s="13"/>
      <c r="I163" s="13"/>
      <c r="J163" s="17"/>
      <c r="K163" s="13"/>
      <c r="L163" s="112"/>
      <c r="M163" s="112"/>
      <c r="N163" s="13"/>
      <c r="O163" s="13"/>
      <c r="P163" s="14"/>
    </row>
    <row r="164" spans="2:16" x14ac:dyDescent="0.25">
      <c r="B164" s="39"/>
      <c r="C164" s="13"/>
      <c r="D164" s="13"/>
      <c r="E164" s="13"/>
      <c r="F164" s="13"/>
      <c r="G164" s="13"/>
      <c r="H164" s="13"/>
      <c r="I164" s="13"/>
      <c r="J164" s="17"/>
      <c r="K164" s="13"/>
      <c r="L164" s="112"/>
      <c r="M164" s="112"/>
      <c r="N164" s="13"/>
      <c r="O164" s="13"/>
      <c r="P164" s="14"/>
    </row>
    <row r="165" spans="2:16" x14ac:dyDescent="0.25">
      <c r="B165" s="39"/>
      <c r="C165" s="13"/>
      <c r="D165" s="13"/>
      <c r="E165" s="13"/>
      <c r="F165" s="13"/>
      <c r="G165" s="13"/>
      <c r="H165" s="13"/>
      <c r="I165" s="13"/>
      <c r="J165" s="17"/>
      <c r="K165" s="13"/>
      <c r="L165" s="112"/>
      <c r="M165" s="112"/>
      <c r="N165" s="13"/>
      <c r="O165" s="13"/>
      <c r="P165" s="14"/>
    </row>
    <row r="166" spans="2:16" x14ac:dyDescent="0.25">
      <c r="B166" s="39"/>
      <c r="C166" s="13"/>
      <c r="D166" s="13"/>
      <c r="E166" s="13"/>
      <c r="F166" s="13"/>
      <c r="G166" s="13"/>
      <c r="H166" s="13"/>
      <c r="I166" s="13"/>
      <c r="J166" s="17"/>
      <c r="K166" s="13"/>
      <c r="L166" s="112"/>
      <c r="M166" s="112"/>
      <c r="N166" s="13"/>
      <c r="O166" s="13"/>
      <c r="P166" s="14"/>
    </row>
    <row r="167" spans="2:16" x14ac:dyDescent="0.25">
      <c r="B167" s="39"/>
      <c r="C167" s="13"/>
      <c r="D167" s="13"/>
      <c r="E167" s="13"/>
      <c r="F167" s="13"/>
      <c r="G167" s="13"/>
      <c r="H167" s="13"/>
      <c r="I167" s="13"/>
      <c r="J167" s="17"/>
      <c r="K167" s="13"/>
      <c r="L167" s="112"/>
      <c r="M167" s="112"/>
      <c r="N167" s="13"/>
      <c r="O167" s="13"/>
      <c r="P167" s="14"/>
    </row>
    <row r="168" spans="2:16" x14ac:dyDescent="0.25">
      <c r="B168" s="39"/>
      <c r="C168" s="13"/>
      <c r="D168" s="13"/>
      <c r="E168" s="13"/>
      <c r="F168" s="13"/>
      <c r="G168" s="13"/>
      <c r="H168" s="13"/>
      <c r="I168" s="13"/>
      <c r="J168" s="17"/>
      <c r="K168" s="13"/>
      <c r="L168" s="112"/>
      <c r="M168" s="112"/>
      <c r="N168" s="13"/>
      <c r="O168" s="13"/>
      <c r="P168" s="14"/>
    </row>
    <row r="169" spans="2:16" x14ac:dyDescent="0.25">
      <c r="B169" s="39"/>
      <c r="C169" s="13"/>
      <c r="D169" s="13"/>
      <c r="E169" s="13"/>
      <c r="F169" s="13"/>
      <c r="G169" s="13"/>
      <c r="H169" s="13"/>
      <c r="I169" s="13"/>
      <c r="J169" s="17"/>
      <c r="K169" s="13"/>
      <c r="L169" s="112"/>
      <c r="M169" s="112"/>
      <c r="N169" s="13"/>
      <c r="O169" s="13"/>
      <c r="P169" s="14"/>
    </row>
    <row r="170" spans="2:16" x14ac:dyDescent="0.25">
      <c r="B170" s="39"/>
      <c r="C170" s="13"/>
      <c r="D170" s="13"/>
      <c r="E170" s="13"/>
      <c r="F170" s="13"/>
      <c r="G170" s="13"/>
      <c r="H170" s="13"/>
      <c r="I170" s="13"/>
      <c r="J170" s="17"/>
      <c r="K170" s="13"/>
      <c r="L170" s="112"/>
      <c r="M170" s="112"/>
      <c r="N170" s="13"/>
      <c r="O170" s="13"/>
      <c r="P170" s="14"/>
    </row>
    <row r="171" spans="2:16" x14ac:dyDescent="0.25">
      <c r="B171" s="39"/>
      <c r="C171" s="13"/>
      <c r="D171" s="13"/>
      <c r="E171" s="13"/>
      <c r="F171" s="13"/>
      <c r="G171" s="13"/>
      <c r="H171" s="13"/>
      <c r="I171" s="13"/>
      <c r="J171" s="17"/>
      <c r="K171" s="13"/>
      <c r="L171" s="112"/>
      <c r="M171" s="112"/>
      <c r="N171" s="13"/>
      <c r="O171" s="13"/>
      <c r="P171" s="14"/>
    </row>
    <row r="172" spans="2:16" x14ac:dyDescent="0.25"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4"/>
    </row>
    <row r="173" spans="2:16" x14ac:dyDescent="0.25">
      <c r="B173" s="1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4"/>
    </row>
    <row r="174" spans="2:16" x14ac:dyDescent="0.25">
      <c r="B174" s="1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4"/>
    </row>
    <row r="175" spans="2:16" ht="15.75" thickBot="1" x14ac:dyDescent="0.3">
      <c r="B175" s="42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8"/>
    </row>
    <row r="176" spans="2:16" x14ac:dyDescent="0.25">
      <c r="B176" s="29"/>
    </row>
    <row r="177" spans="2:16" ht="18" thickBot="1" x14ac:dyDescent="0.3">
      <c r="B177" s="5"/>
    </row>
    <row r="178" spans="2:16" ht="15.75" x14ac:dyDescent="0.25"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30">
        <v>911.1</v>
      </c>
      <c r="P178" s="11"/>
    </row>
    <row r="179" spans="2:16" ht="19.5" x14ac:dyDescent="0.25">
      <c r="B179" s="12"/>
      <c r="C179" s="13"/>
      <c r="D179" s="13"/>
      <c r="E179" s="13"/>
      <c r="F179" s="180" t="s">
        <v>1</v>
      </c>
      <c r="G179" s="180"/>
      <c r="H179" s="180"/>
      <c r="I179" s="180"/>
      <c r="J179" s="180"/>
      <c r="K179" s="180"/>
      <c r="L179" s="180"/>
      <c r="M179" s="13"/>
      <c r="N179" s="13"/>
      <c r="O179" s="13"/>
      <c r="P179" s="14"/>
    </row>
    <row r="180" spans="2:16" ht="19.5" x14ac:dyDescent="0.25">
      <c r="B180" s="12"/>
      <c r="C180" s="13"/>
      <c r="D180" s="13"/>
      <c r="E180" s="13"/>
      <c r="F180" s="180" t="s">
        <v>2</v>
      </c>
      <c r="G180" s="180"/>
      <c r="H180" s="180"/>
      <c r="I180" s="180"/>
      <c r="J180" s="180"/>
      <c r="K180" s="180"/>
      <c r="L180" s="180"/>
      <c r="M180" s="13"/>
      <c r="N180" s="13"/>
      <c r="O180" s="13"/>
      <c r="P180" s="14"/>
    </row>
    <row r="181" spans="2:16" ht="15.75" x14ac:dyDescent="0.25">
      <c r="B181" s="12"/>
      <c r="C181" s="15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4"/>
    </row>
    <row r="182" spans="2:16" ht="20.25" x14ac:dyDescent="0.25">
      <c r="B182" s="12"/>
      <c r="C182" s="13"/>
      <c r="D182" s="13"/>
      <c r="E182" s="13"/>
      <c r="F182" s="181" t="s">
        <v>55</v>
      </c>
      <c r="G182" s="181"/>
      <c r="H182" s="181"/>
      <c r="I182" s="181"/>
      <c r="J182" s="181"/>
      <c r="K182" s="181"/>
      <c r="L182" s="181"/>
      <c r="M182" s="13"/>
      <c r="N182" s="13"/>
      <c r="O182" s="13"/>
      <c r="P182" s="14"/>
    </row>
    <row r="183" spans="2:16" x14ac:dyDescent="0.25">
      <c r="B183" s="12"/>
      <c r="C183" s="16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4"/>
    </row>
    <row r="184" spans="2:16" x14ac:dyDescent="0.25">
      <c r="B184" s="3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4"/>
    </row>
    <row r="185" spans="2:16" ht="19.5" x14ac:dyDescent="0.25">
      <c r="B185" s="12"/>
      <c r="C185" s="34" t="s">
        <v>4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4"/>
    </row>
    <row r="186" spans="2:16" ht="19.5" x14ac:dyDescent="0.25">
      <c r="B186" s="12"/>
      <c r="C186" s="34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4"/>
    </row>
    <row r="187" spans="2:16" ht="19.5" x14ac:dyDescent="0.25">
      <c r="B187" s="35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4"/>
    </row>
    <row r="188" spans="2:16" ht="21" customHeight="1" x14ac:dyDescent="0.25">
      <c r="B188" s="36"/>
      <c r="C188" s="37" t="s">
        <v>5</v>
      </c>
      <c r="D188" s="13"/>
      <c r="E188" s="182" t="str">
        <f>+E44</f>
        <v>15MSU0945E</v>
      </c>
      <c r="F188" s="183"/>
      <c r="G188" s="183"/>
      <c r="H188" s="184"/>
      <c r="I188" s="13"/>
      <c r="J188" s="13"/>
      <c r="K188" s="13"/>
      <c r="L188" s="13"/>
      <c r="M188" s="13"/>
      <c r="N188" s="13"/>
      <c r="O188" s="13"/>
      <c r="P188" s="14"/>
    </row>
    <row r="189" spans="2:16" x14ac:dyDescent="0.25">
      <c r="B189" s="3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4"/>
    </row>
    <row r="190" spans="2:16" x14ac:dyDescent="0.25">
      <c r="B190" s="3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4"/>
    </row>
    <row r="191" spans="2:16" x14ac:dyDescent="0.25">
      <c r="B191" s="3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4"/>
    </row>
    <row r="192" spans="2:16" ht="20.25" customHeight="1" x14ac:dyDescent="0.25">
      <c r="B192" s="12"/>
      <c r="C192" s="37" t="s">
        <v>56</v>
      </c>
      <c r="D192" s="13"/>
      <c r="E192" s="130" t="str">
        <f>+E45</f>
        <v>UNIVERSIDAD MEXIQUENSE DEL BICENTENARIO</v>
      </c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14"/>
    </row>
    <row r="193" spans="2:16" x14ac:dyDescent="0.25">
      <c r="B193" s="38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4"/>
    </row>
    <row r="194" spans="2:16" x14ac:dyDescent="0.25">
      <c r="B194" s="3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4"/>
    </row>
    <row r="195" spans="2:16" x14ac:dyDescent="0.25">
      <c r="B195" s="3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4"/>
    </row>
    <row r="196" spans="2:16" x14ac:dyDescent="0.25">
      <c r="B196" s="3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4"/>
    </row>
    <row r="197" spans="2:16" x14ac:dyDescent="0.25">
      <c r="B197" s="3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4"/>
    </row>
    <row r="198" spans="2:16" x14ac:dyDescent="0.25">
      <c r="B198" s="1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4"/>
    </row>
    <row r="199" spans="2:16" x14ac:dyDescent="0.25">
      <c r="B199" s="3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4"/>
    </row>
    <row r="200" spans="2:16" x14ac:dyDescent="0.25">
      <c r="B200" s="39"/>
      <c r="C200" s="13"/>
      <c r="D200" s="13"/>
      <c r="E200" s="13"/>
      <c r="F200" s="13"/>
      <c r="G200" s="13"/>
      <c r="H200" s="13"/>
      <c r="I200" s="13"/>
      <c r="J200" s="13"/>
      <c r="K200" s="13"/>
      <c r="L200" s="84" t="s">
        <v>59</v>
      </c>
      <c r="M200" s="84" t="s">
        <v>60</v>
      </c>
      <c r="N200" s="84" t="s">
        <v>61</v>
      </c>
      <c r="O200" s="13"/>
      <c r="P200" s="14"/>
    </row>
    <row r="201" spans="2:16" x14ac:dyDescent="0.25">
      <c r="B201" s="40" t="s">
        <v>57</v>
      </c>
      <c r="C201" s="13"/>
      <c r="D201" s="13"/>
      <c r="E201" s="13"/>
      <c r="F201" s="13"/>
      <c r="G201" s="13"/>
      <c r="H201" s="13"/>
      <c r="I201" s="13"/>
      <c r="J201" s="18" t="s">
        <v>58</v>
      </c>
      <c r="K201" s="13"/>
      <c r="L201" s="133">
        <v>2012</v>
      </c>
      <c r="M201" s="133">
        <v>10</v>
      </c>
      <c r="N201" s="133">
        <v>10</v>
      </c>
      <c r="O201" s="13"/>
      <c r="P201" s="14"/>
    </row>
    <row r="202" spans="2:16" x14ac:dyDescent="0.25">
      <c r="B202" s="40"/>
      <c r="C202" s="13"/>
      <c r="D202" s="13"/>
      <c r="E202" s="13"/>
      <c r="F202" s="13"/>
      <c r="G202" s="13"/>
      <c r="H202" s="13"/>
      <c r="I202" s="13"/>
      <c r="J202" s="18"/>
      <c r="K202" s="13"/>
      <c r="L202" s="13"/>
      <c r="M202" s="13"/>
      <c r="N202" s="13"/>
      <c r="O202" s="13"/>
      <c r="P202" s="14"/>
    </row>
    <row r="203" spans="2:16" x14ac:dyDescent="0.25">
      <c r="B203" s="9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4"/>
    </row>
    <row r="204" spans="2:16" ht="15.75" thickBot="1" x14ac:dyDescent="0.3">
      <c r="B204" s="12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4"/>
    </row>
    <row r="205" spans="2:16" ht="15.75" customHeight="1" x14ac:dyDescent="0.25">
      <c r="B205" s="39"/>
      <c r="C205" s="168" t="s">
        <v>13</v>
      </c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70"/>
      <c r="P205" s="14"/>
    </row>
    <row r="206" spans="2:16" x14ac:dyDescent="0.25">
      <c r="B206" s="12"/>
      <c r="C206" s="171"/>
      <c r="D206" s="172"/>
      <c r="E206" s="172"/>
      <c r="F206" s="172"/>
      <c r="G206" s="172"/>
      <c r="H206" s="172"/>
      <c r="I206" s="172"/>
      <c r="J206" s="172"/>
      <c r="K206" s="172"/>
      <c r="L206" s="172"/>
      <c r="M206" s="172"/>
      <c r="N206" s="172"/>
      <c r="O206" s="173"/>
      <c r="P206" s="14"/>
    </row>
    <row r="207" spans="2:16" x14ac:dyDescent="0.25">
      <c r="B207" s="33"/>
      <c r="C207" s="174" t="s">
        <v>196</v>
      </c>
      <c r="D207" s="155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75"/>
      <c r="P207" s="14"/>
    </row>
    <row r="208" spans="2:16" ht="15.75" thickBot="1" x14ac:dyDescent="0.3">
      <c r="B208" s="33"/>
      <c r="C208" s="176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8"/>
      <c r="P208" s="14"/>
    </row>
    <row r="209" spans="2:16" ht="18" thickBot="1" x14ac:dyDescent="0.3">
      <c r="B209" s="12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8"/>
    </row>
    <row r="210" spans="2:16" ht="17.25" x14ac:dyDescent="0.25">
      <c r="B210" s="5"/>
    </row>
    <row r="211" spans="2:16" ht="15.75" thickBot="1" x14ac:dyDescent="0.3"/>
    <row r="212" spans="2:16" ht="15.75" x14ac:dyDescent="0.25">
      <c r="B212" s="81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30">
        <v>911.1</v>
      </c>
      <c r="P212" s="11"/>
    </row>
    <row r="213" spans="2:16" ht="15.75" x14ac:dyDescent="0.25">
      <c r="B213" s="12"/>
      <c r="C213" s="67" t="s">
        <v>63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23" t="s">
        <v>62</v>
      </c>
      <c r="P213" s="14"/>
    </row>
    <row r="214" spans="2:16" x14ac:dyDescent="0.25"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4"/>
    </row>
    <row r="215" spans="2:16" x14ac:dyDescent="0.25">
      <c r="B215" s="12"/>
      <c r="C215" s="155" t="s">
        <v>64</v>
      </c>
      <c r="D215" s="155"/>
      <c r="E215" s="155"/>
      <c r="F215" s="155"/>
      <c r="G215" s="13"/>
      <c r="H215" s="13"/>
      <c r="I215" s="13"/>
      <c r="J215" s="13"/>
      <c r="K215" s="13"/>
      <c r="L215" s="13"/>
      <c r="M215" s="13"/>
      <c r="N215" s="13"/>
      <c r="O215" s="13"/>
      <c r="P215" s="14"/>
    </row>
    <row r="216" spans="2:16" ht="17.25" x14ac:dyDescent="0.25">
      <c r="B216" s="75"/>
      <c r="C216" s="155"/>
      <c r="D216" s="155"/>
      <c r="E216" s="155"/>
      <c r="F216" s="155"/>
      <c r="G216" s="13"/>
      <c r="H216" s="196" t="s">
        <v>65</v>
      </c>
      <c r="I216" s="196"/>
      <c r="J216" s="196"/>
      <c r="K216" s="13"/>
      <c r="L216" s="189"/>
      <c r="M216" s="190"/>
      <c r="N216" s="13"/>
      <c r="O216" s="13"/>
      <c r="P216" s="14"/>
    </row>
    <row r="217" spans="2:16" x14ac:dyDescent="0.25">
      <c r="B217" s="12"/>
      <c r="C217" s="155"/>
      <c r="D217" s="155"/>
      <c r="E217" s="155"/>
      <c r="F217" s="155"/>
      <c r="G217" s="13"/>
      <c r="H217" s="196"/>
      <c r="I217" s="196"/>
      <c r="J217" s="196"/>
      <c r="K217" s="13"/>
      <c r="L217" s="13"/>
      <c r="M217" s="13"/>
      <c r="N217" s="13"/>
      <c r="O217" s="13"/>
      <c r="P217" s="14"/>
    </row>
    <row r="218" spans="2:16" x14ac:dyDescent="0.25">
      <c r="B218" s="82"/>
      <c r="C218" s="13"/>
      <c r="D218" s="13"/>
      <c r="E218" s="13"/>
      <c r="F218" s="13"/>
      <c r="G218" s="13"/>
      <c r="H218" s="196"/>
      <c r="I218" s="196"/>
      <c r="J218" s="196"/>
      <c r="K218" s="13"/>
      <c r="L218" s="13"/>
      <c r="M218" s="13"/>
      <c r="N218" s="13"/>
      <c r="O218" s="13"/>
      <c r="P218" s="14"/>
    </row>
    <row r="219" spans="2:16" x14ac:dyDescent="0.25"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4"/>
    </row>
    <row r="220" spans="2:16" ht="15.75" x14ac:dyDescent="0.25">
      <c r="B220" s="12"/>
      <c r="C220" s="166" t="s">
        <v>66</v>
      </c>
      <c r="D220" s="166"/>
      <c r="E220" s="166"/>
      <c r="F220" s="166"/>
      <c r="G220" s="67"/>
      <c r="H220" s="67"/>
      <c r="I220" s="13"/>
      <c r="J220" s="159" t="s">
        <v>68</v>
      </c>
      <c r="K220" s="159"/>
      <c r="L220" s="159"/>
      <c r="M220" s="159"/>
      <c r="N220" s="159"/>
      <c r="O220" s="159"/>
      <c r="P220" s="14"/>
    </row>
    <row r="221" spans="2:16" ht="15.75" x14ac:dyDescent="0.25">
      <c r="B221" s="12"/>
      <c r="C221" s="166"/>
      <c r="D221" s="166"/>
      <c r="E221" s="166"/>
      <c r="F221" s="166"/>
      <c r="G221" s="83"/>
      <c r="H221" s="83"/>
      <c r="I221" s="13"/>
      <c r="J221" s="13"/>
      <c r="K221" s="13"/>
      <c r="L221" s="17"/>
      <c r="M221" s="13"/>
      <c r="N221" s="13"/>
      <c r="O221" s="13"/>
      <c r="P221" s="14"/>
    </row>
    <row r="222" spans="2:16" x14ac:dyDescent="0.25">
      <c r="B222" s="12"/>
      <c r="C222" s="13"/>
      <c r="D222" s="13"/>
      <c r="E222" s="13"/>
      <c r="F222" s="13"/>
      <c r="G222" s="13"/>
      <c r="H222" s="13"/>
      <c r="I222" s="13"/>
      <c r="J222" s="193" t="s">
        <v>169</v>
      </c>
      <c r="K222" s="193"/>
      <c r="L222" s="194" t="s">
        <v>69</v>
      </c>
      <c r="M222" s="194"/>
      <c r="N222" s="195" t="s">
        <v>70</v>
      </c>
      <c r="O222" s="195"/>
      <c r="P222" s="14"/>
    </row>
    <row r="223" spans="2:16" ht="19.5" customHeight="1" x14ac:dyDescent="0.25">
      <c r="B223" s="12"/>
      <c r="C223" s="155" t="s">
        <v>168</v>
      </c>
      <c r="D223" s="155"/>
      <c r="E223" s="155"/>
      <c r="F223" s="155"/>
      <c r="G223" s="13"/>
      <c r="H223" s="17" t="s">
        <v>67</v>
      </c>
      <c r="I223" s="13"/>
      <c r="J223" s="193"/>
      <c r="K223" s="193"/>
      <c r="L223" s="194"/>
      <c r="M223" s="194"/>
      <c r="N223" s="195"/>
      <c r="O223" s="195"/>
      <c r="P223" s="14"/>
    </row>
    <row r="224" spans="2:16" x14ac:dyDescent="0.25">
      <c r="B224" s="12"/>
      <c r="C224" s="155"/>
      <c r="D224" s="155"/>
      <c r="E224" s="155"/>
      <c r="F224" s="155"/>
      <c r="G224" s="13"/>
      <c r="H224" s="18" t="s">
        <v>170</v>
      </c>
      <c r="I224" s="13"/>
      <c r="J224" s="189"/>
      <c r="K224" s="190"/>
      <c r="L224" s="189"/>
      <c r="M224" s="190"/>
      <c r="N224" s="189"/>
      <c r="O224" s="190"/>
      <c r="P224" s="14"/>
    </row>
    <row r="225" spans="2:16" x14ac:dyDescent="0.25">
      <c r="B225" s="55"/>
      <c r="C225" s="155"/>
      <c r="D225" s="155"/>
      <c r="E225" s="155"/>
      <c r="F225" s="155"/>
      <c r="G225" s="13"/>
      <c r="H225" s="18" t="s">
        <v>171</v>
      </c>
      <c r="I225" s="13"/>
      <c r="J225" s="189"/>
      <c r="K225" s="190"/>
      <c r="L225" s="189"/>
      <c r="M225" s="190"/>
      <c r="N225" s="189"/>
      <c r="O225" s="190"/>
      <c r="P225" s="14"/>
    </row>
    <row r="226" spans="2:16" x14ac:dyDescent="0.25">
      <c r="B226" s="33"/>
      <c r="C226" s="155"/>
      <c r="D226" s="155"/>
      <c r="E226" s="155"/>
      <c r="F226" s="155"/>
      <c r="G226" s="13"/>
      <c r="H226" s="18" t="s">
        <v>172</v>
      </c>
      <c r="I226" s="13"/>
      <c r="J226" s="189"/>
      <c r="K226" s="190"/>
      <c r="L226" s="189"/>
      <c r="M226" s="190"/>
      <c r="N226" s="189"/>
      <c r="O226" s="190"/>
      <c r="P226" s="14"/>
    </row>
    <row r="227" spans="2:16" x14ac:dyDescent="0.25">
      <c r="B227" s="33"/>
      <c r="C227" s="155"/>
      <c r="D227" s="155"/>
      <c r="E227" s="155"/>
      <c r="F227" s="155"/>
      <c r="G227" s="13"/>
      <c r="H227" s="13"/>
      <c r="I227" s="13"/>
      <c r="J227" s="13"/>
      <c r="K227" s="13"/>
      <c r="L227" s="13"/>
      <c r="M227" s="13"/>
      <c r="N227" s="13"/>
      <c r="O227" s="13"/>
      <c r="P227" s="14"/>
    </row>
    <row r="228" spans="2:16" x14ac:dyDescent="0.25">
      <c r="B228" s="33"/>
      <c r="C228" s="13"/>
      <c r="D228" s="13"/>
      <c r="E228" s="13"/>
      <c r="F228" s="13"/>
      <c r="G228" s="13"/>
      <c r="H228" s="17" t="s">
        <v>18</v>
      </c>
      <c r="I228" s="13"/>
      <c r="J228" s="189"/>
      <c r="K228" s="190"/>
      <c r="L228" s="189"/>
      <c r="M228" s="190"/>
      <c r="N228" s="189"/>
      <c r="O228" s="190"/>
      <c r="P228" s="14"/>
    </row>
    <row r="229" spans="2:16" x14ac:dyDescent="0.25">
      <c r="B229" s="3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4"/>
    </row>
    <row r="230" spans="2:16" x14ac:dyDescent="0.25">
      <c r="B230" s="12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4"/>
    </row>
    <row r="231" spans="2:16" x14ac:dyDescent="0.25">
      <c r="B231" s="12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4"/>
    </row>
    <row r="232" spans="2:16" x14ac:dyDescent="0.25">
      <c r="B232" s="85"/>
      <c r="C232" s="156" t="s">
        <v>71</v>
      </c>
      <c r="D232" s="156"/>
      <c r="E232" s="156"/>
      <c r="F232" s="156"/>
      <c r="G232" s="13"/>
      <c r="H232" s="17" t="s">
        <v>72</v>
      </c>
      <c r="I232" s="13"/>
      <c r="J232" s="13"/>
      <c r="K232" s="13"/>
      <c r="L232" s="192" t="s">
        <v>169</v>
      </c>
      <c r="M232" s="192"/>
      <c r="N232" s="179" t="s">
        <v>69</v>
      </c>
      <c r="O232" s="179"/>
      <c r="P232" s="14"/>
    </row>
    <row r="233" spans="2:16" x14ac:dyDescent="0.25">
      <c r="B233" s="12"/>
      <c r="C233" s="156"/>
      <c r="D233" s="156"/>
      <c r="E233" s="156"/>
      <c r="F233" s="156"/>
      <c r="G233" s="13"/>
      <c r="H233" s="13"/>
      <c r="I233" s="13"/>
      <c r="J233" s="13"/>
      <c r="K233" s="13"/>
      <c r="L233" s="192"/>
      <c r="M233" s="192"/>
      <c r="N233" s="179"/>
      <c r="O233" s="179"/>
      <c r="P233" s="14"/>
    </row>
    <row r="234" spans="2:16" x14ac:dyDescent="0.25">
      <c r="B234" s="54"/>
      <c r="C234" s="156"/>
      <c r="D234" s="156"/>
      <c r="E234" s="156"/>
      <c r="F234" s="156"/>
      <c r="G234" s="13"/>
      <c r="H234" s="18" t="s">
        <v>73</v>
      </c>
      <c r="I234" s="13"/>
      <c r="J234" s="13"/>
      <c r="K234" s="13"/>
      <c r="L234" s="189"/>
      <c r="M234" s="190"/>
      <c r="N234" s="189"/>
      <c r="O234" s="190"/>
      <c r="P234" s="14"/>
    </row>
    <row r="235" spans="2:16" x14ac:dyDescent="0.25">
      <c r="B235" s="12"/>
      <c r="C235" s="156"/>
      <c r="D235" s="156"/>
      <c r="E235" s="156"/>
      <c r="F235" s="156"/>
      <c r="G235" s="13"/>
      <c r="H235" s="18" t="s">
        <v>74</v>
      </c>
      <c r="I235" s="13"/>
      <c r="J235" s="13"/>
      <c r="K235" s="13"/>
      <c r="L235" s="189"/>
      <c r="M235" s="190"/>
      <c r="N235" s="189"/>
      <c r="O235" s="190"/>
      <c r="P235" s="14"/>
    </row>
    <row r="236" spans="2:16" x14ac:dyDescent="0.25">
      <c r="B236" s="12"/>
      <c r="C236" s="156"/>
      <c r="D236" s="156"/>
      <c r="E236" s="156"/>
      <c r="F236" s="156"/>
      <c r="G236" s="13"/>
      <c r="H236" s="18" t="s">
        <v>173</v>
      </c>
      <c r="I236" s="13"/>
      <c r="J236" s="13"/>
      <c r="K236" s="13"/>
      <c r="L236" s="189"/>
      <c r="M236" s="190"/>
      <c r="N236" s="189"/>
      <c r="O236" s="190"/>
      <c r="P236" s="14"/>
    </row>
    <row r="237" spans="2:16" x14ac:dyDescent="0.25">
      <c r="B237" s="33"/>
      <c r="C237" s="13"/>
      <c r="D237" s="13"/>
      <c r="E237" s="13"/>
      <c r="F237" s="13"/>
      <c r="G237" s="13"/>
      <c r="H237" s="18" t="s">
        <v>174</v>
      </c>
      <c r="I237" s="13"/>
      <c r="J237" s="13"/>
      <c r="K237" s="13"/>
      <c r="L237" s="189"/>
      <c r="M237" s="190"/>
      <c r="N237" s="189"/>
      <c r="O237" s="190"/>
      <c r="P237" s="14"/>
    </row>
    <row r="238" spans="2:16" x14ac:dyDescent="0.25">
      <c r="B238" s="33"/>
      <c r="C238" s="13"/>
      <c r="D238" s="13"/>
      <c r="E238" s="13"/>
      <c r="F238" s="13"/>
      <c r="G238" s="13"/>
      <c r="H238" s="18" t="s">
        <v>175</v>
      </c>
      <c r="I238" s="13"/>
      <c r="J238" s="13"/>
      <c r="K238" s="13"/>
      <c r="L238" s="189"/>
      <c r="M238" s="190"/>
      <c r="N238" s="189"/>
      <c r="O238" s="190"/>
      <c r="P238" s="14"/>
    </row>
    <row r="239" spans="2:16" ht="15.75" x14ac:dyDescent="0.25">
      <c r="B239" s="53"/>
      <c r="C239" s="13"/>
      <c r="D239" s="13"/>
      <c r="E239" s="13"/>
      <c r="F239" s="13"/>
      <c r="G239" s="13"/>
      <c r="H239" s="18" t="s">
        <v>176</v>
      </c>
      <c r="I239" s="13"/>
      <c r="J239" s="13"/>
      <c r="K239" s="13"/>
      <c r="L239" s="189"/>
      <c r="M239" s="190"/>
      <c r="N239" s="189"/>
      <c r="O239" s="190"/>
      <c r="P239" s="14"/>
    </row>
    <row r="240" spans="2:16" x14ac:dyDescent="0.25">
      <c r="B240" s="12"/>
      <c r="C240" s="13"/>
      <c r="D240" s="13"/>
      <c r="E240" s="13"/>
      <c r="F240" s="13"/>
      <c r="G240" s="13"/>
      <c r="H240" s="18" t="s">
        <v>75</v>
      </c>
      <c r="I240" s="13"/>
      <c r="J240" s="13"/>
      <c r="K240" s="13"/>
      <c r="L240" s="189"/>
      <c r="M240" s="190"/>
      <c r="N240" s="189"/>
      <c r="O240" s="190"/>
      <c r="P240" s="14"/>
    </row>
    <row r="241" spans="2:16" x14ac:dyDescent="0.25">
      <c r="B241" s="64"/>
      <c r="C241" s="13"/>
      <c r="D241" s="13"/>
      <c r="E241" s="13"/>
      <c r="F241" s="13"/>
      <c r="G241" s="13"/>
      <c r="H241" s="18" t="s">
        <v>76</v>
      </c>
      <c r="I241" s="13"/>
      <c r="J241" s="13"/>
      <c r="K241" s="13"/>
      <c r="L241" s="189"/>
      <c r="M241" s="190"/>
      <c r="N241" s="189"/>
      <c r="O241" s="190"/>
      <c r="P241" s="14"/>
    </row>
    <row r="242" spans="2:16" x14ac:dyDescent="0.25">
      <c r="B242" s="12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4"/>
    </row>
    <row r="243" spans="2:16" x14ac:dyDescent="0.25">
      <c r="B243" s="39"/>
      <c r="C243" s="13"/>
      <c r="D243" s="13"/>
      <c r="E243" s="13"/>
      <c r="F243" s="13"/>
      <c r="G243" s="13"/>
      <c r="H243" s="91" t="s">
        <v>18</v>
      </c>
      <c r="I243" s="13"/>
      <c r="J243" s="13"/>
      <c r="K243" s="13"/>
      <c r="L243" s="189"/>
      <c r="M243" s="190"/>
      <c r="N243" s="189"/>
      <c r="O243" s="190"/>
      <c r="P243" s="14"/>
    </row>
    <row r="244" spans="2:16" x14ac:dyDescent="0.25">
      <c r="B244" s="12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4"/>
    </row>
    <row r="245" spans="2:16" x14ac:dyDescent="0.25">
      <c r="B245" s="12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4"/>
    </row>
    <row r="246" spans="2:16" ht="15.75" thickBot="1" x14ac:dyDescent="0.3">
      <c r="B246" s="25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8"/>
    </row>
    <row r="248" spans="2:16" ht="15.75" thickBot="1" x14ac:dyDescent="0.3">
      <c r="B248" s="2"/>
    </row>
    <row r="249" spans="2:16" ht="15.75" x14ac:dyDescent="0.25">
      <c r="B249" s="52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30">
        <v>911.1</v>
      </c>
      <c r="P249" s="11"/>
    </row>
    <row r="250" spans="2:16" ht="15.75" customHeight="1" x14ac:dyDescent="0.25">
      <c r="B250" s="12"/>
      <c r="C250" s="188" t="s">
        <v>77</v>
      </c>
      <c r="D250" s="188"/>
      <c r="E250" s="188"/>
      <c r="F250" s="188"/>
      <c r="G250" s="13"/>
      <c r="H250" s="13"/>
      <c r="I250" s="13"/>
      <c r="J250" s="13"/>
      <c r="K250" s="13"/>
      <c r="L250" s="13"/>
      <c r="M250" s="13"/>
      <c r="N250" s="13"/>
      <c r="O250" s="123" t="s">
        <v>62</v>
      </c>
      <c r="P250" s="14"/>
    </row>
    <row r="251" spans="2:16" x14ac:dyDescent="0.25">
      <c r="B251" s="33"/>
      <c r="C251" s="188"/>
      <c r="D251" s="188"/>
      <c r="E251" s="188"/>
      <c r="F251" s="188"/>
      <c r="G251" s="13"/>
      <c r="H251" s="13"/>
      <c r="I251" s="13"/>
      <c r="J251" s="13"/>
      <c r="K251" s="13"/>
      <c r="L251" s="13"/>
      <c r="M251" s="13"/>
      <c r="N251" s="13"/>
      <c r="O251" s="13"/>
      <c r="P251" s="14"/>
    </row>
    <row r="252" spans="2:16" ht="8.25" customHeight="1" x14ac:dyDescent="0.25">
      <c r="B252" s="33"/>
      <c r="C252" s="86"/>
      <c r="D252" s="86"/>
      <c r="E252" s="86"/>
      <c r="F252" s="86"/>
      <c r="G252" s="13"/>
      <c r="H252" s="13"/>
      <c r="I252" s="13"/>
      <c r="J252" s="13"/>
      <c r="K252" s="13"/>
      <c r="L252" s="13"/>
      <c r="M252" s="13"/>
      <c r="N252" s="13"/>
      <c r="O252" s="13"/>
      <c r="P252" s="14"/>
    </row>
    <row r="253" spans="2:16" ht="15" customHeight="1" x14ac:dyDescent="0.25">
      <c r="B253" s="12"/>
      <c r="C253" s="155" t="s">
        <v>177</v>
      </c>
      <c r="D253" s="155"/>
      <c r="E253" s="155"/>
      <c r="F253" s="155"/>
      <c r="G253" s="13"/>
      <c r="H253" s="13"/>
      <c r="I253" s="13"/>
      <c r="J253" s="13"/>
      <c r="K253" s="13"/>
      <c r="L253" s="13"/>
      <c r="M253" s="13"/>
      <c r="N253" s="13"/>
      <c r="O253" s="191" t="s">
        <v>160</v>
      </c>
      <c r="P253" s="14"/>
    </row>
    <row r="254" spans="2:16" x14ac:dyDescent="0.25">
      <c r="B254" s="12"/>
      <c r="C254" s="155"/>
      <c r="D254" s="155"/>
      <c r="E254" s="155"/>
      <c r="F254" s="155"/>
      <c r="G254" s="13"/>
      <c r="H254" s="13"/>
      <c r="I254" s="13"/>
      <c r="J254" s="13"/>
      <c r="K254" s="13"/>
      <c r="L254" s="17" t="s">
        <v>29</v>
      </c>
      <c r="M254" s="17" t="s">
        <v>30</v>
      </c>
      <c r="N254" s="17" t="s">
        <v>18</v>
      </c>
      <c r="O254" s="191"/>
      <c r="P254" s="14"/>
    </row>
    <row r="255" spans="2:16" x14ac:dyDescent="0.25">
      <c r="B255" s="33"/>
      <c r="C255" s="155"/>
      <c r="D255" s="155"/>
      <c r="E255" s="155"/>
      <c r="F255" s="155"/>
      <c r="G255" s="13"/>
      <c r="H255" s="18" t="s">
        <v>35</v>
      </c>
      <c r="I255" s="13"/>
      <c r="J255" s="13"/>
      <c r="K255" s="13"/>
      <c r="L255" s="23"/>
      <c r="M255" s="23"/>
      <c r="N255" s="23"/>
      <c r="O255" s="23"/>
      <c r="P255" s="14"/>
    </row>
    <row r="256" spans="2:16" x14ac:dyDescent="0.25">
      <c r="B256" s="33"/>
      <c r="C256" s="155"/>
      <c r="D256" s="155"/>
      <c r="E256" s="155"/>
      <c r="F256" s="155"/>
      <c r="G256" s="13"/>
      <c r="H256" s="18" t="s">
        <v>78</v>
      </c>
      <c r="I256" s="13"/>
      <c r="J256" s="13"/>
      <c r="K256" s="13"/>
      <c r="L256" s="23"/>
      <c r="M256" s="23"/>
      <c r="N256" s="23"/>
      <c r="O256" s="23"/>
      <c r="P256" s="14"/>
    </row>
    <row r="257" spans="2:16" x14ac:dyDescent="0.25">
      <c r="B257" s="33"/>
      <c r="C257" s="155"/>
      <c r="D257" s="155"/>
      <c r="E257" s="155"/>
      <c r="F257" s="155"/>
      <c r="G257" s="13"/>
      <c r="H257" s="18" t="s">
        <v>79</v>
      </c>
      <c r="I257" s="13"/>
      <c r="J257" s="13"/>
      <c r="K257" s="13"/>
      <c r="L257" s="23"/>
      <c r="M257" s="23"/>
      <c r="N257" s="23"/>
      <c r="O257" s="23"/>
      <c r="P257" s="14"/>
    </row>
    <row r="258" spans="2:16" x14ac:dyDescent="0.25">
      <c r="B258" s="33"/>
      <c r="C258" s="155"/>
      <c r="D258" s="155"/>
      <c r="E258" s="155"/>
      <c r="F258" s="155"/>
      <c r="G258" s="13"/>
      <c r="H258" s="18" t="s">
        <v>36</v>
      </c>
      <c r="I258" s="13"/>
      <c r="J258" s="13"/>
      <c r="K258" s="13"/>
      <c r="L258" s="23"/>
      <c r="M258" s="23"/>
      <c r="N258" s="23"/>
      <c r="O258" s="23"/>
      <c r="P258" s="14"/>
    </row>
    <row r="259" spans="2:16" x14ac:dyDescent="0.25">
      <c r="B259" s="12"/>
      <c r="C259" s="87" t="s">
        <v>26</v>
      </c>
      <c r="D259" s="63"/>
      <c r="E259" s="63"/>
      <c r="F259" s="63"/>
      <c r="G259" s="13"/>
      <c r="H259" s="18" t="s">
        <v>37</v>
      </c>
      <c r="I259" s="13"/>
      <c r="J259" s="13"/>
      <c r="K259" s="13"/>
      <c r="L259" s="23"/>
      <c r="M259" s="23"/>
      <c r="N259" s="23"/>
      <c r="O259" s="23"/>
      <c r="P259" s="14"/>
    </row>
    <row r="260" spans="2:16" x14ac:dyDescent="0.25">
      <c r="B260" s="12"/>
      <c r="C260" s="156" t="s">
        <v>27</v>
      </c>
      <c r="D260" s="156"/>
      <c r="E260" s="156"/>
      <c r="F260" s="156"/>
      <c r="G260" s="13"/>
      <c r="H260" s="18" t="s">
        <v>38</v>
      </c>
      <c r="I260" s="13"/>
      <c r="J260" s="13"/>
      <c r="K260" s="13"/>
      <c r="L260" s="23"/>
      <c r="M260" s="23"/>
      <c r="N260" s="23"/>
      <c r="O260" s="23"/>
      <c r="P260" s="14"/>
    </row>
    <row r="261" spans="2:16" x14ac:dyDescent="0.25">
      <c r="B261" s="33"/>
      <c r="C261" s="156"/>
      <c r="D261" s="156"/>
      <c r="E261" s="156"/>
      <c r="F261" s="156"/>
      <c r="G261" s="13"/>
      <c r="H261" s="88"/>
      <c r="I261" s="13"/>
      <c r="J261" s="13"/>
      <c r="K261" s="13"/>
      <c r="L261" s="13"/>
      <c r="M261" s="13"/>
      <c r="N261" s="13"/>
      <c r="O261" s="13"/>
      <c r="P261" s="14"/>
    </row>
    <row r="262" spans="2:16" x14ac:dyDescent="0.25">
      <c r="B262" s="33"/>
      <c r="C262" s="13"/>
      <c r="D262" s="13"/>
      <c r="E262" s="13"/>
      <c r="F262" s="13"/>
      <c r="G262" s="13"/>
      <c r="H262" s="186" t="s">
        <v>80</v>
      </c>
      <c r="I262" s="186"/>
      <c r="J262" s="186"/>
      <c r="K262" s="186"/>
      <c r="L262" s="23"/>
      <c r="M262" s="23"/>
      <c r="N262" s="23"/>
      <c r="O262" s="23"/>
      <c r="P262" s="14"/>
    </row>
    <row r="263" spans="2:16" x14ac:dyDescent="0.25">
      <c r="B263" s="33"/>
      <c r="C263" s="13"/>
      <c r="D263" s="13"/>
      <c r="E263" s="13"/>
      <c r="F263" s="13"/>
      <c r="G263" s="13"/>
      <c r="H263" s="186"/>
      <c r="I263" s="186"/>
      <c r="J263" s="186"/>
      <c r="K263" s="186"/>
      <c r="L263" s="13"/>
      <c r="M263" s="13"/>
      <c r="N263" s="13"/>
      <c r="O263" s="13"/>
      <c r="P263" s="14"/>
    </row>
    <row r="264" spans="2:16" ht="15.75" x14ac:dyDescent="0.25">
      <c r="B264" s="89" t="s">
        <v>81</v>
      </c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4"/>
    </row>
    <row r="265" spans="2:16" x14ac:dyDescent="0.25">
      <c r="B265" s="39"/>
      <c r="C265" s="13"/>
      <c r="D265" s="13"/>
      <c r="E265" s="13"/>
      <c r="F265" s="13"/>
      <c r="G265" s="13"/>
      <c r="H265" s="13"/>
      <c r="I265" s="161" t="s">
        <v>82</v>
      </c>
      <c r="J265" s="161"/>
      <c r="K265" s="161"/>
      <c r="L265" s="161" t="s">
        <v>83</v>
      </c>
      <c r="M265" s="161"/>
      <c r="N265" s="161"/>
      <c r="O265" s="161"/>
      <c r="P265" s="14"/>
    </row>
    <row r="266" spans="2:16" x14ac:dyDescent="0.25">
      <c r="B266" s="12"/>
      <c r="C266" s="155" t="s">
        <v>178</v>
      </c>
      <c r="D266" s="155"/>
      <c r="E266" s="155"/>
      <c r="F266" s="155"/>
      <c r="G266" s="13"/>
      <c r="H266" s="187" t="s">
        <v>179</v>
      </c>
      <c r="I266" s="185" t="s">
        <v>79</v>
      </c>
      <c r="J266" s="160" t="s">
        <v>36</v>
      </c>
      <c r="K266" s="160" t="s">
        <v>180</v>
      </c>
      <c r="L266" s="185" t="s">
        <v>29</v>
      </c>
      <c r="M266" s="185" t="s">
        <v>30</v>
      </c>
      <c r="N266" s="185" t="s">
        <v>18</v>
      </c>
      <c r="O266" s="157" t="s">
        <v>160</v>
      </c>
      <c r="P266" s="14"/>
    </row>
    <row r="267" spans="2:16" x14ac:dyDescent="0.25">
      <c r="B267" s="12"/>
      <c r="C267" s="155"/>
      <c r="D267" s="155"/>
      <c r="E267" s="155"/>
      <c r="F267" s="155"/>
      <c r="G267" s="13"/>
      <c r="H267" s="187"/>
      <c r="I267" s="185"/>
      <c r="J267" s="160"/>
      <c r="K267" s="160"/>
      <c r="L267" s="185"/>
      <c r="M267" s="185"/>
      <c r="N267" s="185"/>
      <c r="O267" s="157"/>
      <c r="P267" s="14"/>
    </row>
    <row r="268" spans="2:16" ht="15.75" x14ac:dyDescent="0.25">
      <c r="B268" s="53"/>
      <c r="C268" s="155"/>
      <c r="D268" s="155"/>
      <c r="E268" s="155"/>
      <c r="F268" s="155"/>
      <c r="G268" s="13"/>
      <c r="H268" s="13"/>
      <c r="I268" s="13"/>
      <c r="J268" s="13"/>
      <c r="K268" s="13"/>
      <c r="L268" s="13"/>
      <c r="M268" s="13"/>
      <c r="N268" s="13"/>
      <c r="O268" s="13"/>
      <c r="P268" s="14"/>
    </row>
    <row r="269" spans="2:16" x14ac:dyDescent="0.25">
      <c r="B269" s="12"/>
      <c r="C269" s="13"/>
      <c r="D269" s="13"/>
      <c r="E269" s="13"/>
      <c r="F269" s="13"/>
      <c r="G269" s="72" t="s">
        <v>84</v>
      </c>
      <c r="H269" s="13"/>
      <c r="I269" s="23"/>
      <c r="J269" s="23"/>
      <c r="K269" s="23"/>
      <c r="L269" s="23"/>
      <c r="M269" s="23"/>
      <c r="N269" s="23"/>
      <c r="O269" s="23"/>
      <c r="P269" s="14"/>
    </row>
    <row r="270" spans="2:16" x14ac:dyDescent="0.25">
      <c r="B270" s="12"/>
      <c r="C270" s="13"/>
      <c r="D270" s="13"/>
      <c r="E270" s="13"/>
      <c r="F270" s="13"/>
      <c r="G270" s="72" t="s">
        <v>85</v>
      </c>
      <c r="H270" s="13"/>
      <c r="I270" s="23"/>
      <c r="J270" s="23"/>
      <c r="K270" s="23"/>
      <c r="L270" s="23"/>
      <c r="M270" s="23"/>
      <c r="N270" s="23"/>
      <c r="O270" s="23"/>
      <c r="P270" s="14"/>
    </row>
    <row r="271" spans="2:16" x14ac:dyDescent="0.25">
      <c r="B271" s="90"/>
      <c r="C271" s="13"/>
      <c r="D271" s="13"/>
      <c r="E271" s="13"/>
      <c r="F271" s="13"/>
      <c r="G271" s="72" t="s">
        <v>86</v>
      </c>
      <c r="H271" s="13"/>
      <c r="I271" s="23"/>
      <c r="J271" s="23"/>
      <c r="K271" s="23"/>
      <c r="L271" s="23"/>
      <c r="M271" s="23"/>
      <c r="N271" s="23"/>
      <c r="O271" s="23"/>
      <c r="P271" s="14"/>
    </row>
    <row r="272" spans="2:16" x14ac:dyDescent="0.25">
      <c r="B272" s="12"/>
      <c r="C272" s="13"/>
      <c r="D272" s="13"/>
      <c r="E272" s="13"/>
      <c r="F272" s="13"/>
      <c r="G272" s="13"/>
      <c r="H272" s="78"/>
      <c r="I272" s="13"/>
      <c r="J272" s="13"/>
      <c r="K272" s="13"/>
      <c r="L272" s="13"/>
      <c r="M272" s="13"/>
      <c r="N272" s="13"/>
      <c r="O272" s="13"/>
      <c r="P272" s="14"/>
    </row>
    <row r="273" spans="2:16" x14ac:dyDescent="0.25">
      <c r="B273" s="12"/>
      <c r="C273" s="13"/>
      <c r="D273" s="13"/>
      <c r="E273" s="13"/>
      <c r="F273" s="13"/>
      <c r="G273" s="17" t="s">
        <v>18</v>
      </c>
      <c r="H273" s="13"/>
      <c r="I273" s="23"/>
      <c r="J273" s="23"/>
      <c r="K273" s="23"/>
      <c r="L273" s="23"/>
      <c r="M273" s="23"/>
      <c r="N273" s="23"/>
      <c r="O273" s="23"/>
      <c r="P273" s="14"/>
    </row>
    <row r="274" spans="2:16" ht="7.5" customHeight="1" x14ac:dyDescent="0.25">
      <c r="B274" s="12"/>
      <c r="C274" s="13"/>
      <c r="D274" s="13"/>
      <c r="E274" s="13"/>
      <c r="F274" s="13"/>
      <c r="G274" s="17"/>
      <c r="H274" s="13"/>
      <c r="I274" s="13"/>
      <c r="J274" s="13"/>
      <c r="K274" s="13"/>
      <c r="L274" s="13"/>
      <c r="M274" s="13"/>
      <c r="N274" s="13"/>
      <c r="O274" s="13"/>
      <c r="P274" s="14"/>
    </row>
    <row r="275" spans="2:16" x14ac:dyDescent="0.25">
      <c r="B275" s="77"/>
      <c r="C275" s="13"/>
      <c r="D275" s="13"/>
      <c r="E275" s="13"/>
      <c r="F275" s="13"/>
      <c r="G275" s="17" t="s">
        <v>87</v>
      </c>
      <c r="H275" s="13"/>
      <c r="I275" s="13"/>
      <c r="J275" s="13"/>
      <c r="K275" s="13"/>
      <c r="L275" s="13"/>
      <c r="M275" s="13"/>
      <c r="N275" s="13"/>
      <c r="O275" s="13"/>
      <c r="P275" s="14"/>
    </row>
    <row r="276" spans="2:16" x14ac:dyDescent="0.25">
      <c r="B276" s="12"/>
      <c r="C276" s="13"/>
      <c r="D276" s="13"/>
      <c r="E276" s="13"/>
      <c r="F276" s="13"/>
      <c r="G276" s="72" t="s">
        <v>181</v>
      </c>
      <c r="H276" s="13"/>
      <c r="I276" s="23"/>
      <c r="J276" s="23"/>
      <c r="K276" s="23"/>
      <c r="L276" s="23"/>
      <c r="M276" s="23"/>
      <c r="N276" s="23"/>
      <c r="O276" s="23"/>
      <c r="P276" s="14"/>
    </row>
    <row r="277" spans="2:16" x14ac:dyDescent="0.25">
      <c r="B277" s="12"/>
      <c r="C277" s="13"/>
      <c r="D277" s="13"/>
      <c r="E277" s="13"/>
      <c r="F277" s="13"/>
      <c r="G277" s="72" t="s">
        <v>182</v>
      </c>
      <c r="H277" s="13"/>
      <c r="I277" s="23"/>
      <c r="J277" s="23"/>
      <c r="K277" s="23"/>
      <c r="L277" s="23"/>
      <c r="M277" s="23"/>
      <c r="N277" s="23"/>
      <c r="O277" s="23"/>
      <c r="P277" s="14"/>
    </row>
    <row r="278" spans="2:16" x14ac:dyDescent="0.25">
      <c r="B278" s="12"/>
      <c r="C278" s="13"/>
      <c r="D278" s="13"/>
      <c r="E278" s="13"/>
      <c r="F278" s="13"/>
      <c r="G278" s="72" t="s">
        <v>159</v>
      </c>
      <c r="H278" s="13"/>
      <c r="I278" s="23"/>
      <c r="J278" s="23"/>
      <c r="K278" s="23"/>
      <c r="L278" s="23"/>
      <c r="M278" s="23"/>
      <c r="N278" s="23"/>
      <c r="O278" s="23"/>
      <c r="P278" s="14"/>
    </row>
    <row r="279" spans="2:16" x14ac:dyDescent="0.25">
      <c r="B279" s="12"/>
      <c r="C279" s="13"/>
      <c r="D279" s="13"/>
      <c r="E279" s="13"/>
      <c r="F279" s="13"/>
      <c r="G279" s="72" t="s">
        <v>158</v>
      </c>
      <c r="H279" s="13"/>
      <c r="I279" s="23"/>
      <c r="J279" s="23"/>
      <c r="K279" s="23"/>
      <c r="L279" s="23"/>
      <c r="M279" s="23"/>
      <c r="N279" s="23"/>
      <c r="O279" s="23"/>
      <c r="P279" s="14"/>
    </row>
    <row r="280" spans="2:16" x14ac:dyDescent="0.25">
      <c r="B280" s="12"/>
      <c r="C280" s="13"/>
      <c r="D280" s="13"/>
      <c r="E280" s="13"/>
      <c r="F280" s="13"/>
      <c r="G280" s="72" t="s">
        <v>88</v>
      </c>
      <c r="H280" s="13"/>
      <c r="I280" s="23"/>
      <c r="J280" s="23"/>
      <c r="K280" s="23"/>
      <c r="L280" s="23"/>
      <c r="M280" s="23"/>
      <c r="N280" s="23"/>
      <c r="O280" s="23"/>
      <c r="P280" s="14"/>
    </row>
    <row r="281" spans="2:16" x14ac:dyDescent="0.25">
      <c r="B281" s="12"/>
      <c r="C281" s="13"/>
      <c r="D281" s="13"/>
      <c r="E281" s="13"/>
      <c r="F281" s="13"/>
      <c r="G281" s="72" t="s">
        <v>38</v>
      </c>
      <c r="H281" s="13"/>
      <c r="I281" s="23"/>
      <c r="J281" s="23"/>
      <c r="K281" s="23"/>
      <c r="L281" s="23"/>
      <c r="M281" s="23"/>
      <c r="N281" s="23"/>
      <c r="O281" s="23"/>
      <c r="P281" s="14"/>
    </row>
    <row r="282" spans="2:16" x14ac:dyDescent="0.25">
      <c r="B282" s="12"/>
      <c r="C282" s="13"/>
      <c r="D282" s="13"/>
      <c r="E282" s="13"/>
      <c r="F282" s="13"/>
      <c r="G282" s="16"/>
      <c r="H282" s="13"/>
      <c r="I282" s="13"/>
      <c r="J282" s="13"/>
      <c r="K282" s="13"/>
      <c r="L282" s="13"/>
      <c r="M282" s="13"/>
      <c r="N282" s="13"/>
      <c r="O282" s="13"/>
      <c r="P282" s="14"/>
    </row>
    <row r="283" spans="2:16" x14ac:dyDescent="0.25">
      <c r="B283" s="12"/>
      <c r="C283" s="13"/>
      <c r="D283" s="13"/>
      <c r="E283" s="13"/>
      <c r="F283" s="13"/>
      <c r="G283" s="17" t="s">
        <v>18</v>
      </c>
      <c r="H283" s="13"/>
      <c r="I283" s="23"/>
      <c r="J283" s="23"/>
      <c r="K283" s="23"/>
      <c r="L283" s="23"/>
      <c r="M283" s="23"/>
      <c r="N283" s="23"/>
      <c r="O283" s="23"/>
      <c r="P283" s="14"/>
    </row>
    <row r="284" spans="2:16" x14ac:dyDescent="0.25">
      <c r="B284" s="12"/>
      <c r="C284" s="72" t="s">
        <v>89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4"/>
    </row>
    <row r="285" spans="2:16" ht="15.75" thickBot="1" x14ac:dyDescent="0.3">
      <c r="B285" s="25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8"/>
    </row>
    <row r="286" spans="2:16" ht="16.5" thickBot="1" x14ac:dyDescent="0.3">
      <c r="B286" s="3"/>
    </row>
    <row r="287" spans="2:16" ht="15.75" x14ac:dyDescent="0.25"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30">
        <v>911.1</v>
      </c>
      <c r="P287" s="11"/>
    </row>
    <row r="288" spans="2:16" x14ac:dyDescent="0.25">
      <c r="B288" s="3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23" t="s">
        <v>62</v>
      </c>
      <c r="P288" s="14"/>
    </row>
    <row r="289" spans="2:16" x14ac:dyDescent="0.25">
      <c r="B289" s="3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23"/>
      <c r="P289" s="14"/>
    </row>
    <row r="290" spans="2:16" ht="15.75" x14ac:dyDescent="0.25">
      <c r="B290" s="53"/>
      <c r="C290" s="155" t="s">
        <v>183</v>
      </c>
      <c r="D290" s="155"/>
      <c r="E290" s="155"/>
      <c r="F290" s="155"/>
      <c r="G290" s="13"/>
      <c r="H290" s="13"/>
      <c r="I290" s="161" t="s">
        <v>82</v>
      </c>
      <c r="J290" s="161"/>
      <c r="K290" s="161"/>
      <c r="L290" s="161" t="s">
        <v>83</v>
      </c>
      <c r="M290" s="161"/>
      <c r="N290" s="161"/>
      <c r="O290" s="161"/>
      <c r="P290" s="14"/>
    </row>
    <row r="291" spans="2:16" x14ac:dyDescent="0.25">
      <c r="B291" s="12"/>
      <c r="C291" s="155"/>
      <c r="D291" s="155"/>
      <c r="E291" s="155"/>
      <c r="F291" s="155"/>
      <c r="G291" s="13"/>
      <c r="H291" s="167" t="s">
        <v>90</v>
      </c>
      <c r="I291" s="185" t="s">
        <v>79</v>
      </c>
      <c r="J291" s="160" t="s">
        <v>36</v>
      </c>
      <c r="K291" s="160" t="s">
        <v>180</v>
      </c>
      <c r="L291" s="185" t="s">
        <v>29</v>
      </c>
      <c r="M291" s="185" t="s">
        <v>30</v>
      </c>
      <c r="N291" s="185" t="s">
        <v>18</v>
      </c>
      <c r="O291" s="157" t="s">
        <v>160</v>
      </c>
      <c r="P291" s="14"/>
    </row>
    <row r="292" spans="2:16" x14ac:dyDescent="0.25">
      <c r="B292" s="54"/>
      <c r="C292" s="155"/>
      <c r="D292" s="155"/>
      <c r="E292" s="155"/>
      <c r="F292" s="155"/>
      <c r="G292" s="13"/>
      <c r="H292" s="167"/>
      <c r="I292" s="185"/>
      <c r="J292" s="160"/>
      <c r="K292" s="160"/>
      <c r="L292" s="185"/>
      <c r="M292" s="185"/>
      <c r="N292" s="185"/>
      <c r="O292" s="157"/>
      <c r="P292" s="14"/>
    </row>
    <row r="293" spans="2:16" x14ac:dyDescent="0.25">
      <c r="B293" s="12"/>
      <c r="C293" s="155"/>
      <c r="D293" s="155"/>
      <c r="E293" s="155"/>
      <c r="F293" s="155"/>
      <c r="G293" s="13"/>
      <c r="H293" s="13"/>
      <c r="I293" s="13"/>
      <c r="J293" s="13"/>
      <c r="K293" s="13"/>
      <c r="L293" s="13"/>
      <c r="M293" s="13"/>
      <c r="N293" s="13"/>
      <c r="O293" s="13"/>
      <c r="P293" s="14"/>
    </row>
    <row r="294" spans="2:16" ht="16.5" customHeight="1" x14ac:dyDescent="0.25">
      <c r="B294" s="12"/>
      <c r="C294" s="13"/>
      <c r="D294" s="13"/>
      <c r="E294" s="13"/>
      <c r="F294" s="13"/>
      <c r="G294" s="58" t="s">
        <v>91</v>
      </c>
      <c r="H294" s="13"/>
      <c r="I294" s="23"/>
      <c r="J294" s="23"/>
      <c r="K294" s="23"/>
      <c r="L294" s="23"/>
      <c r="M294" s="23"/>
      <c r="N294" s="23"/>
      <c r="O294" s="23"/>
      <c r="P294" s="14"/>
    </row>
    <row r="295" spans="2:16" ht="16.5" customHeight="1" x14ac:dyDescent="0.25">
      <c r="B295" s="77"/>
      <c r="C295" s="13"/>
      <c r="D295" s="13"/>
      <c r="E295" s="13"/>
      <c r="F295" s="13"/>
      <c r="G295" s="58" t="s">
        <v>92</v>
      </c>
      <c r="H295" s="13"/>
      <c r="I295" s="23"/>
      <c r="J295" s="23"/>
      <c r="K295" s="23"/>
      <c r="L295" s="23"/>
      <c r="M295" s="23"/>
      <c r="N295" s="23"/>
      <c r="O295" s="23"/>
      <c r="P295" s="14"/>
    </row>
    <row r="296" spans="2:16" ht="16.5" customHeight="1" x14ac:dyDescent="0.25">
      <c r="B296" s="12"/>
      <c r="C296" s="13"/>
      <c r="D296" s="13"/>
      <c r="E296" s="13"/>
      <c r="F296" s="13"/>
      <c r="G296" s="58" t="s">
        <v>184</v>
      </c>
      <c r="H296" s="13"/>
      <c r="I296" s="23"/>
      <c r="J296" s="23"/>
      <c r="K296" s="23"/>
      <c r="L296" s="23"/>
      <c r="M296" s="23"/>
      <c r="N296" s="23"/>
      <c r="O296" s="23"/>
      <c r="P296" s="14"/>
    </row>
    <row r="297" spans="2:16" ht="16.5" customHeight="1" x14ac:dyDescent="0.25">
      <c r="B297" s="77"/>
      <c r="C297" s="13"/>
      <c r="D297" s="13"/>
      <c r="E297" s="13"/>
      <c r="F297" s="13"/>
      <c r="G297" s="58" t="s">
        <v>185</v>
      </c>
      <c r="H297" s="13"/>
      <c r="I297" s="23"/>
      <c r="J297" s="23"/>
      <c r="K297" s="23"/>
      <c r="L297" s="23"/>
      <c r="M297" s="23"/>
      <c r="N297" s="23"/>
      <c r="O297" s="23"/>
      <c r="P297" s="14"/>
    </row>
    <row r="298" spans="2:16" ht="16.5" customHeight="1" x14ac:dyDescent="0.25">
      <c r="B298" s="12"/>
      <c r="C298" s="13"/>
      <c r="D298" s="13"/>
      <c r="E298" s="13"/>
      <c r="F298" s="13"/>
      <c r="G298" s="58" t="s">
        <v>186</v>
      </c>
      <c r="H298" s="13"/>
      <c r="I298" s="23"/>
      <c r="J298" s="23"/>
      <c r="K298" s="23"/>
      <c r="L298" s="23"/>
      <c r="M298" s="23"/>
      <c r="N298" s="23"/>
      <c r="O298" s="23"/>
      <c r="P298" s="14"/>
    </row>
    <row r="299" spans="2:16" ht="16.5" customHeight="1" x14ac:dyDescent="0.25">
      <c r="B299" s="92"/>
      <c r="C299" s="13"/>
      <c r="D299" s="13"/>
      <c r="E299" s="13"/>
      <c r="F299" s="13"/>
      <c r="G299" s="58" t="s">
        <v>187</v>
      </c>
      <c r="H299" s="13"/>
      <c r="I299" s="23"/>
      <c r="J299" s="23"/>
      <c r="K299" s="23"/>
      <c r="L299" s="23"/>
      <c r="M299" s="23"/>
      <c r="N299" s="23"/>
      <c r="O299" s="23"/>
      <c r="P299" s="14"/>
    </row>
    <row r="300" spans="2:16" ht="16.5" customHeight="1" x14ac:dyDescent="0.25">
      <c r="B300" s="12"/>
      <c r="C300" s="13"/>
      <c r="D300" s="13"/>
      <c r="E300" s="13"/>
      <c r="F300" s="13"/>
      <c r="G300" s="58" t="s">
        <v>93</v>
      </c>
      <c r="H300" s="13"/>
      <c r="I300" s="23"/>
      <c r="J300" s="23"/>
      <c r="K300" s="23"/>
      <c r="L300" s="23"/>
      <c r="M300" s="23"/>
      <c r="N300" s="23"/>
      <c r="O300" s="23"/>
      <c r="P300" s="14"/>
    </row>
    <row r="301" spans="2:16" ht="16.5" customHeight="1" x14ac:dyDescent="0.25">
      <c r="B301" s="12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4"/>
    </row>
    <row r="302" spans="2:16" ht="16.5" customHeight="1" x14ac:dyDescent="0.25">
      <c r="B302" s="12"/>
      <c r="C302" s="13"/>
      <c r="D302" s="13"/>
      <c r="E302" s="13"/>
      <c r="F302" s="13"/>
      <c r="G302" s="17" t="s">
        <v>18</v>
      </c>
      <c r="H302" s="13"/>
      <c r="I302" s="23"/>
      <c r="J302" s="23"/>
      <c r="K302" s="23"/>
      <c r="L302" s="23"/>
      <c r="M302" s="23"/>
      <c r="N302" s="23"/>
      <c r="O302" s="23"/>
      <c r="P302" s="14"/>
    </row>
    <row r="303" spans="2:16" ht="16.5" customHeight="1" x14ac:dyDescent="0.25">
      <c r="B303" s="12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4"/>
    </row>
    <row r="304" spans="2:16" ht="16.5" customHeight="1" x14ac:dyDescent="0.25">
      <c r="B304" s="39"/>
      <c r="C304" s="13"/>
      <c r="D304" s="13"/>
      <c r="E304" s="13"/>
      <c r="F304" s="13"/>
      <c r="G304" s="17" t="s">
        <v>94</v>
      </c>
      <c r="H304" s="13"/>
      <c r="I304" s="23"/>
      <c r="J304" s="23"/>
      <c r="K304" s="23"/>
      <c r="L304" s="23"/>
      <c r="M304" s="23"/>
      <c r="N304" s="23"/>
      <c r="O304" s="23"/>
      <c r="P304" s="14"/>
    </row>
    <row r="305" spans="2:16" ht="16.5" customHeight="1" x14ac:dyDescent="0.25">
      <c r="B305" s="12"/>
      <c r="C305" s="13"/>
      <c r="D305" s="13"/>
      <c r="E305" s="13"/>
      <c r="F305" s="13"/>
      <c r="G305" s="18" t="s">
        <v>188</v>
      </c>
      <c r="H305" s="13"/>
      <c r="I305" s="23"/>
      <c r="J305" s="23"/>
      <c r="K305" s="23"/>
      <c r="L305" s="23"/>
      <c r="M305" s="23"/>
      <c r="N305" s="23"/>
      <c r="O305" s="23"/>
      <c r="P305" s="14"/>
    </row>
    <row r="306" spans="2:16" ht="16.5" customHeight="1" x14ac:dyDescent="0.25">
      <c r="B306" s="33"/>
      <c r="C306" s="13"/>
      <c r="D306" s="13"/>
      <c r="E306" s="13"/>
      <c r="F306" s="13"/>
      <c r="G306" s="18" t="s">
        <v>186</v>
      </c>
      <c r="H306" s="13"/>
      <c r="I306" s="23"/>
      <c r="J306" s="23"/>
      <c r="K306" s="23"/>
      <c r="L306" s="23"/>
      <c r="M306" s="23"/>
      <c r="N306" s="23"/>
      <c r="O306" s="23"/>
      <c r="P306" s="14"/>
    </row>
    <row r="307" spans="2:16" ht="16.5" customHeight="1" x14ac:dyDescent="0.25">
      <c r="B307" s="12"/>
      <c r="C307" s="13"/>
      <c r="D307" s="13"/>
      <c r="E307" s="13"/>
      <c r="F307" s="13"/>
      <c r="G307" s="18" t="s">
        <v>187</v>
      </c>
      <c r="H307" s="13"/>
      <c r="I307" s="23"/>
      <c r="J307" s="23"/>
      <c r="K307" s="23"/>
      <c r="L307" s="23"/>
      <c r="M307" s="23"/>
      <c r="N307" s="23"/>
      <c r="O307" s="23"/>
      <c r="P307" s="14"/>
    </row>
    <row r="308" spans="2:16" ht="16.5" customHeight="1" x14ac:dyDescent="0.25">
      <c r="B308" s="55"/>
      <c r="C308" s="13"/>
      <c r="D308" s="13"/>
      <c r="E308" s="13"/>
      <c r="F308" s="13"/>
      <c r="G308" s="18" t="s">
        <v>189</v>
      </c>
      <c r="H308" s="13"/>
      <c r="I308" s="23"/>
      <c r="J308" s="23"/>
      <c r="K308" s="23"/>
      <c r="L308" s="23"/>
      <c r="M308" s="23"/>
      <c r="N308" s="23"/>
      <c r="O308" s="23"/>
      <c r="P308" s="14"/>
    </row>
    <row r="309" spans="2:16" ht="16.5" customHeight="1" x14ac:dyDescent="0.25">
      <c r="B309" s="33"/>
      <c r="C309" s="13"/>
      <c r="D309" s="13"/>
      <c r="E309" s="13"/>
      <c r="F309" s="13"/>
      <c r="G309" s="18" t="s">
        <v>190</v>
      </c>
      <c r="H309" s="13"/>
      <c r="I309" s="23"/>
      <c r="J309" s="23"/>
      <c r="K309" s="23"/>
      <c r="L309" s="23"/>
      <c r="M309" s="23"/>
      <c r="N309" s="23"/>
      <c r="O309" s="23"/>
      <c r="P309" s="14"/>
    </row>
    <row r="310" spans="2:16" ht="16.5" customHeight="1" x14ac:dyDescent="0.25">
      <c r="B310" s="12"/>
      <c r="C310" s="13"/>
      <c r="D310" s="13"/>
      <c r="E310" s="13"/>
      <c r="F310" s="13"/>
      <c r="G310" s="18" t="s">
        <v>191</v>
      </c>
      <c r="H310" s="13"/>
      <c r="I310" s="23"/>
      <c r="J310" s="23"/>
      <c r="K310" s="23"/>
      <c r="L310" s="23"/>
      <c r="M310" s="23"/>
      <c r="N310" s="23"/>
      <c r="O310" s="23"/>
      <c r="P310" s="14"/>
    </row>
    <row r="311" spans="2:16" ht="16.5" customHeight="1" x14ac:dyDescent="0.25">
      <c r="B311" s="54"/>
      <c r="C311" s="13"/>
      <c r="D311" s="13"/>
      <c r="E311" s="13"/>
      <c r="F311" s="13"/>
      <c r="G311" s="18" t="s">
        <v>192</v>
      </c>
      <c r="H311" s="13"/>
      <c r="I311" s="23"/>
      <c r="J311" s="23"/>
      <c r="K311" s="23"/>
      <c r="L311" s="23"/>
      <c r="M311" s="23"/>
      <c r="N311" s="23"/>
      <c r="O311" s="23"/>
      <c r="P311" s="14"/>
    </row>
    <row r="312" spans="2:16" ht="16.5" customHeight="1" x14ac:dyDescent="0.25">
      <c r="B312" s="33"/>
      <c r="C312" s="13"/>
      <c r="D312" s="13"/>
      <c r="E312" s="13"/>
      <c r="F312" s="13"/>
      <c r="G312" s="18" t="s">
        <v>193</v>
      </c>
      <c r="H312" s="13"/>
      <c r="I312" s="23"/>
      <c r="J312" s="23"/>
      <c r="K312" s="23"/>
      <c r="L312" s="23"/>
      <c r="M312" s="23"/>
      <c r="N312" s="23"/>
      <c r="O312" s="23"/>
      <c r="P312" s="14"/>
    </row>
    <row r="313" spans="2:16" ht="16.5" customHeight="1" x14ac:dyDescent="0.25">
      <c r="B313" s="93"/>
      <c r="C313" s="13"/>
      <c r="D313" s="13"/>
      <c r="E313" s="13"/>
      <c r="F313" s="13"/>
      <c r="G313" s="18" t="s">
        <v>194</v>
      </c>
      <c r="H313" s="13"/>
      <c r="I313" s="23"/>
      <c r="J313" s="23"/>
      <c r="K313" s="23"/>
      <c r="L313" s="23"/>
      <c r="M313" s="23"/>
      <c r="N313" s="23"/>
      <c r="O313" s="23"/>
      <c r="P313" s="14"/>
    </row>
    <row r="314" spans="2:16" ht="16.5" customHeight="1" x14ac:dyDescent="0.25">
      <c r="B314" s="12"/>
      <c r="C314" s="13"/>
      <c r="D314" s="13"/>
      <c r="E314" s="13"/>
      <c r="F314" s="13"/>
      <c r="G314" s="18" t="s">
        <v>195</v>
      </c>
      <c r="H314" s="13"/>
      <c r="I314" s="23"/>
      <c r="J314" s="23"/>
      <c r="K314" s="23"/>
      <c r="L314" s="23"/>
      <c r="M314" s="23"/>
      <c r="N314" s="23"/>
      <c r="O314" s="23"/>
      <c r="P314" s="14"/>
    </row>
    <row r="315" spans="2:16" ht="16.5" customHeight="1" x14ac:dyDescent="0.25">
      <c r="B315" s="33"/>
      <c r="C315" s="13"/>
      <c r="D315" s="13"/>
      <c r="E315" s="13"/>
      <c r="F315" s="13"/>
      <c r="G315" s="18" t="s">
        <v>95</v>
      </c>
      <c r="H315" s="13"/>
      <c r="I315" s="23"/>
      <c r="J315" s="23"/>
      <c r="K315" s="23"/>
      <c r="L315" s="23"/>
      <c r="M315" s="23"/>
      <c r="N315" s="23"/>
      <c r="O315" s="23"/>
      <c r="P315" s="14"/>
    </row>
    <row r="316" spans="2:16" ht="16.5" customHeight="1" x14ac:dyDescent="0.25">
      <c r="B316" s="12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4"/>
    </row>
    <row r="317" spans="2:16" ht="16.5" customHeight="1" x14ac:dyDescent="0.25">
      <c r="B317" s="12"/>
      <c r="C317" s="13"/>
      <c r="D317" s="13"/>
      <c r="E317" s="13"/>
      <c r="F317" s="13"/>
      <c r="G317" s="17" t="s">
        <v>18</v>
      </c>
      <c r="H317" s="13"/>
      <c r="I317" s="23"/>
      <c r="J317" s="23"/>
      <c r="K317" s="23"/>
      <c r="L317" s="23"/>
      <c r="M317" s="23"/>
      <c r="N317" s="23"/>
      <c r="O317" s="23"/>
      <c r="P317" s="14"/>
    </row>
    <row r="318" spans="2:16" ht="16.5" customHeight="1" x14ac:dyDescent="0.25">
      <c r="B318" s="12"/>
      <c r="C318" s="13"/>
      <c r="D318" s="13"/>
      <c r="E318" s="13"/>
      <c r="F318" s="13"/>
      <c r="G318" s="17"/>
      <c r="H318" s="13"/>
      <c r="I318" s="13"/>
      <c r="J318" s="13"/>
      <c r="K318" s="13"/>
      <c r="L318" s="13"/>
      <c r="M318" s="13"/>
      <c r="N318" s="13"/>
      <c r="O318" s="13"/>
      <c r="P318" s="14"/>
    </row>
    <row r="319" spans="2:16" ht="16.5" customHeight="1" thickBot="1" x14ac:dyDescent="0.3">
      <c r="B319" s="25"/>
      <c r="C319" s="27"/>
      <c r="D319" s="27"/>
      <c r="E319" s="27"/>
      <c r="F319" s="27"/>
      <c r="G319" s="94"/>
      <c r="H319" s="27"/>
      <c r="I319" s="27"/>
      <c r="J319" s="27"/>
      <c r="K319" s="27"/>
      <c r="L319" s="27"/>
      <c r="M319" s="27"/>
      <c r="N319" s="27"/>
      <c r="O319" s="27"/>
      <c r="P319" s="28"/>
    </row>
    <row r="320" spans="2:16" ht="16.5" customHeight="1" x14ac:dyDescent="0.25">
      <c r="G320" s="4"/>
      <c r="I320" s="13"/>
      <c r="J320" s="13"/>
      <c r="K320" s="13"/>
      <c r="L320" s="13"/>
      <c r="M320" s="13"/>
      <c r="N320" s="13"/>
      <c r="O320" s="13"/>
    </row>
    <row r="321" spans="2:16" ht="16.5" customHeight="1" x14ac:dyDescent="0.25">
      <c r="G321" s="4"/>
      <c r="I321" s="13"/>
      <c r="J321" s="13"/>
      <c r="K321" s="13"/>
      <c r="L321" s="13"/>
      <c r="M321" s="13"/>
      <c r="N321" s="13"/>
      <c r="O321" s="13"/>
    </row>
    <row r="322" spans="2:16" ht="16.5" thickBot="1" x14ac:dyDescent="0.3">
      <c r="B322" s="3"/>
    </row>
    <row r="323" spans="2:16" ht="15.75" x14ac:dyDescent="0.25">
      <c r="B323" s="9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30">
        <v>911.1</v>
      </c>
      <c r="P323" s="11"/>
    </row>
    <row r="324" spans="2:16" ht="19.5" x14ac:dyDescent="0.25">
      <c r="B324" s="12"/>
      <c r="C324" s="13"/>
      <c r="D324" s="13"/>
      <c r="E324" s="13"/>
      <c r="F324" s="180" t="s">
        <v>1</v>
      </c>
      <c r="G324" s="180"/>
      <c r="H324" s="180"/>
      <c r="I324" s="180"/>
      <c r="J324" s="180"/>
      <c r="K324" s="180"/>
      <c r="L324" s="180"/>
      <c r="M324" s="13"/>
      <c r="N324" s="13"/>
      <c r="O324" s="13"/>
      <c r="P324" s="14"/>
    </row>
    <row r="325" spans="2:16" ht="19.5" x14ac:dyDescent="0.25">
      <c r="B325" s="12"/>
      <c r="C325" s="13"/>
      <c r="D325" s="13"/>
      <c r="E325" s="13"/>
      <c r="F325" s="180" t="s">
        <v>2</v>
      </c>
      <c r="G325" s="180"/>
      <c r="H325" s="180"/>
      <c r="I325" s="180"/>
      <c r="J325" s="180"/>
      <c r="K325" s="180"/>
      <c r="L325" s="180"/>
      <c r="M325" s="13"/>
      <c r="N325" s="13"/>
      <c r="O325" s="13"/>
      <c r="P325" s="14"/>
    </row>
    <row r="326" spans="2:16" ht="15.75" x14ac:dyDescent="0.25">
      <c r="B326" s="12"/>
      <c r="C326" s="15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4"/>
    </row>
    <row r="327" spans="2:16" ht="20.25" x14ac:dyDescent="0.25">
      <c r="B327" s="12"/>
      <c r="C327" s="13"/>
      <c r="D327" s="13"/>
      <c r="E327" s="13"/>
      <c r="F327" s="181" t="s">
        <v>197</v>
      </c>
      <c r="G327" s="181"/>
      <c r="H327" s="181"/>
      <c r="I327" s="181"/>
      <c r="J327" s="181"/>
      <c r="K327" s="181"/>
      <c r="L327" s="181"/>
      <c r="M327" s="13"/>
      <c r="N327" s="13"/>
      <c r="O327" s="13"/>
      <c r="P327" s="14"/>
    </row>
    <row r="328" spans="2:16" x14ac:dyDescent="0.25">
      <c r="B328" s="12"/>
      <c r="C328" s="16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4"/>
    </row>
    <row r="329" spans="2:16" x14ac:dyDescent="0.25">
      <c r="B329" s="3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4"/>
    </row>
    <row r="330" spans="2:16" ht="19.5" x14ac:dyDescent="0.25">
      <c r="B330" s="12"/>
      <c r="C330" s="34" t="s">
        <v>4</v>
      </c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4"/>
    </row>
    <row r="331" spans="2:16" ht="19.5" x14ac:dyDescent="0.25">
      <c r="B331" s="12"/>
      <c r="C331" s="34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4"/>
    </row>
    <row r="332" spans="2:16" ht="19.5" x14ac:dyDescent="0.25">
      <c r="B332" s="35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4"/>
    </row>
    <row r="333" spans="2:16" ht="22.5" customHeight="1" x14ac:dyDescent="0.25">
      <c r="B333" s="36"/>
      <c r="C333" s="37" t="s">
        <v>5</v>
      </c>
      <c r="D333" s="13"/>
      <c r="E333" s="182" t="str">
        <f>+E44</f>
        <v>15MSU0945E</v>
      </c>
      <c r="F333" s="183"/>
      <c r="G333" s="183"/>
      <c r="H333" s="184"/>
      <c r="I333" s="13"/>
      <c r="J333" s="13"/>
      <c r="K333" s="13"/>
      <c r="L333" s="13"/>
      <c r="M333" s="13"/>
      <c r="N333" s="13"/>
      <c r="O333" s="13"/>
      <c r="P333" s="14"/>
    </row>
    <row r="334" spans="2:16" x14ac:dyDescent="0.25">
      <c r="B334" s="3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4"/>
    </row>
    <row r="335" spans="2:16" x14ac:dyDescent="0.25">
      <c r="B335" s="3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4"/>
    </row>
    <row r="336" spans="2:16" ht="21" customHeight="1" x14ac:dyDescent="0.25">
      <c r="B336" s="12"/>
      <c r="C336" s="37" t="s">
        <v>56</v>
      </c>
      <c r="D336" s="13"/>
      <c r="E336" s="20" t="str">
        <f>+E45</f>
        <v>UNIVERSIDAD MEXIQUENSE DEL BICENTENARIO</v>
      </c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14"/>
    </row>
    <row r="337" spans="2:16" x14ac:dyDescent="0.25">
      <c r="B337" s="38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4"/>
    </row>
    <row r="338" spans="2:16" x14ac:dyDescent="0.25">
      <c r="B338" s="3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4"/>
    </row>
    <row r="339" spans="2:16" x14ac:dyDescent="0.25">
      <c r="B339" s="3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4"/>
    </row>
    <row r="340" spans="2:16" x14ac:dyDescent="0.25">
      <c r="B340" s="3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4"/>
    </row>
    <row r="341" spans="2:16" x14ac:dyDescent="0.25">
      <c r="B341" s="3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4"/>
    </row>
    <row r="342" spans="2:16" x14ac:dyDescent="0.25">
      <c r="B342" s="12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4"/>
    </row>
    <row r="343" spans="2:16" x14ac:dyDescent="0.25">
      <c r="B343" s="3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4"/>
    </row>
    <row r="344" spans="2:16" x14ac:dyDescent="0.25">
      <c r="B344" s="39"/>
      <c r="C344" s="13"/>
      <c r="D344" s="13"/>
      <c r="E344" s="13"/>
      <c r="F344" s="13"/>
      <c r="G344" s="13"/>
      <c r="H344" s="13"/>
      <c r="I344" s="13"/>
      <c r="J344" s="13"/>
      <c r="K344" s="13"/>
      <c r="L344" s="84" t="s">
        <v>59</v>
      </c>
      <c r="M344" s="84" t="s">
        <v>60</v>
      </c>
      <c r="N344" s="84" t="s">
        <v>61</v>
      </c>
      <c r="O344" s="13"/>
      <c r="P344" s="14"/>
    </row>
    <row r="345" spans="2:16" ht="21.75" customHeight="1" x14ac:dyDescent="0.25">
      <c r="B345" s="40" t="s">
        <v>57</v>
      </c>
      <c r="C345" s="13"/>
      <c r="D345" s="13"/>
      <c r="E345" s="13"/>
      <c r="F345" s="13"/>
      <c r="G345" s="13"/>
      <c r="H345" s="13"/>
      <c r="I345" s="13"/>
      <c r="J345" s="18" t="s">
        <v>58</v>
      </c>
      <c r="K345" s="13"/>
      <c r="L345" s="133">
        <v>2012</v>
      </c>
      <c r="M345" s="133">
        <v>10</v>
      </c>
      <c r="N345" s="133">
        <v>10</v>
      </c>
      <c r="O345" s="13"/>
      <c r="P345" s="14"/>
    </row>
    <row r="346" spans="2:16" x14ac:dyDescent="0.25">
      <c r="B346" s="9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4"/>
    </row>
    <row r="347" spans="2:16" ht="15.75" thickBot="1" x14ac:dyDescent="0.3">
      <c r="B347" s="12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4"/>
    </row>
    <row r="348" spans="2:16" ht="15" customHeight="1" x14ac:dyDescent="0.25">
      <c r="B348" s="39"/>
      <c r="C348" s="168" t="s">
        <v>13</v>
      </c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70"/>
      <c r="P348" s="14"/>
    </row>
    <row r="349" spans="2:16" ht="15" customHeight="1" x14ac:dyDescent="0.25">
      <c r="B349" s="12"/>
      <c r="C349" s="171"/>
      <c r="D349" s="172"/>
      <c r="E349" s="172"/>
      <c r="F349" s="172"/>
      <c r="G349" s="172"/>
      <c r="H349" s="172"/>
      <c r="I349" s="172"/>
      <c r="J349" s="172"/>
      <c r="K349" s="172"/>
      <c r="L349" s="172"/>
      <c r="M349" s="172"/>
      <c r="N349" s="172"/>
      <c r="O349" s="173"/>
      <c r="P349" s="14"/>
    </row>
    <row r="350" spans="2:16" ht="15" customHeight="1" x14ac:dyDescent="0.25">
      <c r="B350" s="33"/>
      <c r="C350" s="174" t="s">
        <v>196</v>
      </c>
      <c r="D350" s="155"/>
      <c r="E350" s="155"/>
      <c r="F350" s="155"/>
      <c r="G350" s="155"/>
      <c r="H350" s="155"/>
      <c r="I350" s="155"/>
      <c r="J350" s="155"/>
      <c r="K350" s="155"/>
      <c r="L350" s="155"/>
      <c r="M350" s="155"/>
      <c r="N350" s="155"/>
      <c r="O350" s="175"/>
      <c r="P350" s="14"/>
    </row>
    <row r="351" spans="2:16" ht="15.75" thickBot="1" x14ac:dyDescent="0.3">
      <c r="B351" s="33"/>
      <c r="C351" s="176"/>
      <c r="D351" s="177"/>
      <c r="E351" s="177"/>
      <c r="F351" s="177"/>
      <c r="G351" s="177"/>
      <c r="H351" s="177"/>
      <c r="I351" s="177"/>
      <c r="J351" s="177"/>
      <c r="K351" s="177"/>
      <c r="L351" s="177"/>
      <c r="M351" s="177"/>
      <c r="N351" s="177"/>
      <c r="O351" s="178"/>
      <c r="P351" s="14"/>
    </row>
    <row r="352" spans="2:16" x14ac:dyDescent="0.25">
      <c r="B352" s="33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14"/>
    </row>
    <row r="353" spans="2:16" ht="15.75" thickBot="1" x14ac:dyDescent="0.3">
      <c r="B353" s="42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28"/>
    </row>
    <row r="354" spans="2:16" x14ac:dyDescent="0.25">
      <c r="B354" s="16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</row>
    <row r="355" spans="2:16" ht="15.75" thickBot="1" x14ac:dyDescent="0.3">
      <c r="B355" s="16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</row>
    <row r="356" spans="2:16" ht="17.25" x14ac:dyDescent="0.25">
      <c r="B356" s="95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30">
        <v>911.1</v>
      </c>
      <c r="P356" s="11"/>
    </row>
    <row r="357" spans="2:16" x14ac:dyDescent="0.25">
      <c r="B357" s="3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23" t="s">
        <v>97</v>
      </c>
      <c r="P357" s="14"/>
    </row>
    <row r="358" spans="2:16" ht="19.5" x14ac:dyDescent="0.25">
      <c r="B358" s="96" t="s">
        <v>96</v>
      </c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4"/>
    </row>
    <row r="359" spans="2:16" x14ac:dyDescent="0.25">
      <c r="B359" s="12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4"/>
    </row>
    <row r="360" spans="2:16" ht="15.75" x14ac:dyDescent="0.25">
      <c r="B360" s="97"/>
      <c r="C360" s="67" t="s">
        <v>98</v>
      </c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4"/>
    </row>
    <row r="361" spans="2:16" x14ac:dyDescent="0.25">
      <c r="B361" s="12"/>
      <c r="C361" s="155" t="s">
        <v>99</v>
      </c>
      <c r="D361" s="155"/>
      <c r="E361" s="155"/>
      <c r="F361" s="155"/>
      <c r="G361" s="13"/>
      <c r="H361" s="13"/>
      <c r="I361" s="91" t="s">
        <v>100</v>
      </c>
      <c r="J361" s="13"/>
      <c r="K361" s="13"/>
      <c r="L361" s="79" t="s">
        <v>107</v>
      </c>
      <c r="M361" s="13"/>
      <c r="N361" s="13"/>
      <c r="O361" s="13"/>
      <c r="P361" s="14"/>
    </row>
    <row r="362" spans="2:16" x14ac:dyDescent="0.25">
      <c r="B362" s="12"/>
      <c r="C362" s="155"/>
      <c r="D362" s="155"/>
      <c r="E362" s="155"/>
      <c r="F362" s="155"/>
      <c r="G362" s="13"/>
      <c r="H362" s="13"/>
      <c r="I362" s="13"/>
      <c r="J362" s="13"/>
      <c r="K362" s="13"/>
      <c r="L362" s="13"/>
      <c r="M362" s="13"/>
      <c r="N362" s="13"/>
      <c r="O362" s="13"/>
      <c r="P362" s="14"/>
    </row>
    <row r="363" spans="2:16" ht="16.5" customHeight="1" x14ac:dyDescent="0.25">
      <c r="B363" s="33"/>
      <c r="C363" s="155"/>
      <c r="D363" s="155"/>
      <c r="E363" s="155"/>
      <c r="F363" s="155"/>
      <c r="G363" s="13"/>
      <c r="H363" s="13"/>
      <c r="I363" s="18" t="s">
        <v>101</v>
      </c>
      <c r="J363" s="13"/>
      <c r="K363" s="13"/>
      <c r="L363" s="150">
        <f>IF($E$44="","",VLOOKUP($E$44,Base!$A$3:$GI$3,72,FALSE))</f>
        <v>60</v>
      </c>
      <c r="M363" s="13"/>
      <c r="N363" s="13"/>
      <c r="O363" s="13"/>
      <c r="P363" s="14"/>
    </row>
    <row r="364" spans="2:16" ht="16.5" customHeight="1" x14ac:dyDescent="0.25">
      <c r="B364" s="33"/>
      <c r="C364" s="13"/>
      <c r="D364" s="13"/>
      <c r="E364" s="13"/>
      <c r="F364" s="13"/>
      <c r="G364" s="13"/>
      <c r="H364" s="13"/>
      <c r="I364" s="18" t="s">
        <v>102</v>
      </c>
      <c r="J364" s="13"/>
      <c r="K364" s="13"/>
      <c r="L364" s="150">
        <f>IF($E$44="","",VLOOKUP($E$44,Base!$A$3:$GI$3,73,FALSE))</f>
        <v>0</v>
      </c>
      <c r="M364" s="13"/>
      <c r="N364" s="13"/>
      <c r="O364" s="13"/>
      <c r="P364" s="14"/>
    </row>
    <row r="365" spans="2:16" ht="16.5" customHeight="1" x14ac:dyDescent="0.25">
      <c r="B365" s="33"/>
      <c r="C365" s="13"/>
      <c r="D365" s="13"/>
      <c r="E365" s="13"/>
      <c r="F365" s="13"/>
      <c r="G365" s="13"/>
      <c r="H365" s="13"/>
      <c r="I365" s="18" t="s">
        <v>103</v>
      </c>
      <c r="J365" s="13"/>
      <c r="K365" s="13"/>
      <c r="L365" s="150">
        <f>IF($E$44="","",VLOOKUP($E$44,Base!$A$3:$GI$3,74,FALSE))</f>
        <v>7</v>
      </c>
      <c r="M365" s="13"/>
      <c r="N365" s="13"/>
      <c r="O365" s="13"/>
      <c r="P365" s="14"/>
    </row>
    <row r="366" spans="2:16" ht="16.5" customHeight="1" x14ac:dyDescent="0.25">
      <c r="B366" s="33"/>
      <c r="C366" s="13"/>
      <c r="D366" s="13"/>
      <c r="E366" s="13"/>
      <c r="F366" s="13"/>
      <c r="G366" s="13"/>
      <c r="H366" s="13"/>
      <c r="I366" s="18" t="s">
        <v>104</v>
      </c>
      <c r="J366" s="13"/>
      <c r="K366" s="13"/>
      <c r="L366" s="150">
        <f>IF($E$44="","",VLOOKUP($E$44,Base!$A$3:$GI$3,75,FALSE))</f>
        <v>4</v>
      </c>
      <c r="M366" s="13"/>
      <c r="N366" s="13"/>
      <c r="O366" s="13"/>
      <c r="P366" s="14"/>
    </row>
    <row r="367" spans="2:16" ht="16.5" customHeight="1" x14ac:dyDescent="0.25">
      <c r="B367" s="12"/>
      <c r="C367" s="13"/>
      <c r="D367" s="13"/>
      <c r="E367" s="13"/>
      <c r="F367" s="13"/>
      <c r="G367" s="13"/>
      <c r="H367" s="13"/>
      <c r="I367" s="18" t="s">
        <v>105</v>
      </c>
      <c r="J367" s="13"/>
      <c r="K367" s="13"/>
      <c r="L367" s="150">
        <f>IF($E$44="","",VLOOKUP($E$44,Base!$A$3:$GI$3,76,FALSE))</f>
        <v>3</v>
      </c>
      <c r="M367" s="13"/>
      <c r="N367" s="13"/>
      <c r="O367" s="13"/>
      <c r="P367" s="14"/>
    </row>
    <row r="368" spans="2:16" ht="16.5" customHeight="1" x14ac:dyDescent="0.25">
      <c r="B368" s="53"/>
      <c r="C368" s="13"/>
      <c r="D368" s="13"/>
      <c r="E368" s="13"/>
      <c r="F368" s="13"/>
      <c r="G368" s="13"/>
      <c r="H368" s="13"/>
      <c r="I368" s="18" t="s">
        <v>106</v>
      </c>
      <c r="J368" s="13"/>
      <c r="K368" s="13"/>
      <c r="L368" s="150">
        <f>IF($E$44="","",VLOOKUP($E$44,Base!$A$3:$GI$3,77,FALSE))</f>
        <v>5</v>
      </c>
      <c r="M368" s="13"/>
      <c r="N368" s="13"/>
      <c r="O368" s="13"/>
      <c r="P368" s="14"/>
    </row>
    <row r="369" spans="2:16" ht="16.5" customHeight="1" x14ac:dyDescent="0.25">
      <c r="B369" s="12"/>
      <c r="C369" s="13"/>
      <c r="D369" s="13"/>
      <c r="E369" s="13"/>
      <c r="F369" s="13"/>
      <c r="G369" s="13"/>
      <c r="H369" s="13"/>
      <c r="I369" s="15"/>
      <c r="J369" s="13"/>
      <c r="K369" s="13"/>
      <c r="L369" s="13"/>
      <c r="M369" s="13"/>
      <c r="N369" s="13"/>
      <c r="O369" s="13"/>
      <c r="P369" s="14"/>
    </row>
    <row r="370" spans="2:16" ht="16.5" customHeight="1" x14ac:dyDescent="0.25">
      <c r="B370" s="33"/>
      <c r="C370" s="13"/>
      <c r="D370" s="13"/>
      <c r="E370" s="13"/>
      <c r="F370" s="13"/>
      <c r="G370" s="13"/>
      <c r="H370" s="13"/>
      <c r="I370" s="91" t="s">
        <v>18</v>
      </c>
      <c r="J370" s="13"/>
      <c r="K370" s="13"/>
      <c r="L370" s="150">
        <f>SUM(L363:L368)</f>
        <v>79</v>
      </c>
      <c r="M370" s="13"/>
      <c r="N370" s="13"/>
      <c r="O370" s="13"/>
      <c r="P370" s="14"/>
    </row>
    <row r="371" spans="2:16" x14ac:dyDescent="0.25">
      <c r="B371" s="33"/>
      <c r="C371" s="13"/>
      <c r="D371" s="13"/>
      <c r="E371" s="13"/>
      <c r="F371" s="13"/>
      <c r="G371" s="13"/>
      <c r="H371" s="13"/>
      <c r="I371" s="91"/>
      <c r="J371" s="13"/>
      <c r="K371" s="13"/>
      <c r="L371" s="13"/>
      <c r="M371" s="13"/>
      <c r="N371" s="13"/>
      <c r="O371" s="13"/>
      <c r="P371" s="14"/>
    </row>
    <row r="372" spans="2:16" ht="15.75" x14ac:dyDescent="0.25">
      <c r="B372" s="5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4"/>
    </row>
    <row r="373" spans="2:16" x14ac:dyDescent="0.25">
      <c r="B373" s="12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4"/>
    </row>
    <row r="374" spans="2:16" x14ac:dyDescent="0.25">
      <c r="B374" s="12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4"/>
    </row>
    <row r="375" spans="2:16" ht="15.75" x14ac:dyDescent="0.25">
      <c r="B375" s="12"/>
      <c r="C375" s="67" t="s">
        <v>108</v>
      </c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4"/>
    </row>
    <row r="376" spans="2:16" ht="15" customHeight="1" x14ac:dyDescent="0.25">
      <c r="B376" s="98"/>
      <c r="C376" s="13"/>
      <c r="D376" s="13"/>
      <c r="E376" s="13"/>
      <c r="F376" s="13"/>
      <c r="G376" s="13"/>
      <c r="H376" s="13"/>
      <c r="I376" s="179" t="s">
        <v>109</v>
      </c>
      <c r="J376" s="13"/>
      <c r="K376" s="13"/>
      <c r="L376" s="179" t="s">
        <v>112</v>
      </c>
      <c r="M376" s="164" t="s">
        <v>113</v>
      </c>
      <c r="N376" s="164"/>
      <c r="O376" s="164"/>
      <c r="P376" s="14"/>
    </row>
    <row r="377" spans="2:16" x14ac:dyDescent="0.25">
      <c r="B377" s="33"/>
      <c r="C377" s="155" t="s">
        <v>198</v>
      </c>
      <c r="D377" s="155"/>
      <c r="E377" s="155"/>
      <c r="F377" s="155"/>
      <c r="G377" s="13"/>
      <c r="H377" s="13"/>
      <c r="I377" s="179"/>
      <c r="J377" s="13"/>
      <c r="K377" s="13"/>
      <c r="L377" s="179"/>
      <c r="M377" s="164"/>
      <c r="N377" s="164"/>
      <c r="O377" s="164"/>
      <c r="P377" s="14"/>
    </row>
    <row r="378" spans="2:16" x14ac:dyDescent="0.25">
      <c r="B378" s="12"/>
      <c r="C378" s="155"/>
      <c r="D378" s="155"/>
      <c r="E378" s="155"/>
      <c r="F378" s="155"/>
      <c r="G378" s="13"/>
      <c r="H378" s="13"/>
      <c r="I378" s="13"/>
      <c r="J378" s="13"/>
      <c r="K378" s="13"/>
      <c r="L378" s="13"/>
      <c r="M378" s="13"/>
      <c r="N378" s="13"/>
      <c r="O378" s="13"/>
      <c r="P378" s="14"/>
    </row>
    <row r="379" spans="2:16" ht="16.5" customHeight="1" x14ac:dyDescent="0.25">
      <c r="B379" s="12"/>
      <c r="C379" s="155"/>
      <c r="D379" s="155"/>
      <c r="E379" s="155"/>
      <c r="F379" s="155"/>
      <c r="G379" s="13"/>
      <c r="H379" s="13"/>
      <c r="I379" s="18" t="s">
        <v>199</v>
      </c>
      <c r="J379" s="13"/>
      <c r="K379" s="13"/>
      <c r="L379" s="133"/>
      <c r="M379" s="13"/>
      <c r="N379" s="23"/>
      <c r="O379" s="13"/>
      <c r="P379" s="14"/>
    </row>
    <row r="380" spans="2:16" ht="16.5" customHeight="1" x14ac:dyDescent="0.25">
      <c r="B380" s="33"/>
      <c r="C380" s="155"/>
      <c r="D380" s="155"/>
      <c r="E380" s="155"/>
      <c r="F380" s="155"/>
      <c r="G380" s="13"/>
      <c r="H380" s="13"/>
      <c r="I380" s="18" t="s">
        <v>200</v>
      </c>
      <c r="J380" s="13"/>
      <c r="K380" s="13"/>
      <c r="L380" s="23"/>
      <c r="M380" s="13"/>
      <c r="N380" s="23"/>
      <c r="O380" s="13"/>
      <c r="P380" s="14"/>
    </row>
    <row r="381" spans="2:16" ht="16.5" customHeight="1" x14ac:dyDescent="0.25">
      <c r="B381" s="33"/>
      <c r="C381" s="13"/>
      <c r="D381" s="13"/>
      <c r="E381" s="13"/>
      <c r="F381" s="13"/>
      <c r="G381" s="13"/>
      <c r="H381" s="13"/>
      <c r="I381" s="18" t="s">
        <v>201</v>
      </c>
      <c r="J381" s="13"/>
      <c r="K381" s="13"/>
      <c r="L381" s="23"/>
      <c r="M381" s="13"/>
      <c r="N381" s="23"/>
      <c r="O381" s="13"/>
      <c r="P381" s="14"/>
    </row>
    <row r="382" spans="2:16" ht="16.5" customHeight="1" x14ac:dyDescent="0.25">
      <c r="B382" s="12"/>
      <c r="C382" s="13"/>
      <c r="D382" s="13"/>
      <c r="E382" s="13"/>
      <c r="F382" s="13"/>
      <c r="G382" s="13"/>
      <c r="H382" s="13"/>
      <c r="I382" s="18" t="s">
        <v>110</v>
      </c>
      <c r="J382" s="13"/>
      <c r="K382" s="13"/>
      <c r="L382" s="23"/>
      <c r="M382" s="13"/>
      <c r="N382" s="23"/>
      <c r="O382" s="13"/>
      <c r="P382" s="14"/>
    </row>
    <row r="383" spans="2:16" ht="16.5" customHeight="1" x14ac:dyDescent="0.25">
      <c r="B383" s="12"/>
      <c r="C383" s="13"/>
      <c r="D383" s="13"/>
      <c r="E383" s="13"/>
      <c r="F383" s="13"/>
      <c r="G383" s="13"/>
      <c r="H383" s="13"/>
      <c r="I383" s="18" t="s">
        <v>111</v>
      </c>
      <c r="J383" s="13"/>
      <c r="K383" s="13"/>
      <c r="L383" s="23"/>
      <c r="M383" s="13"/>
      <c r="N383" s="23"/>
      <c r="O383" s="13"/>
      <c r="P383" s="14"/>
    </row>
    <row r="384" spans="2:16" ht="16.5" customHeight="1" x14ac:dyDescent="0.25">
      <c r="B384" s="12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4"/>
    </row>
    <row r="385" spans="2:16" ht="16.5" customHeight="1" x14ac:dyDescent="0.25">
      <c r="B385" s="12"/>
      <c r="C385" s="13"/>
      <c r="D385" s="13"/>
      <c r="E385" s="13"/>
      <c r="F385" s="13"/>
      <c r="G385" s="13"/>
      <c r="H385" s="13"/>
      <c r="I385" s="91" t="s">
        <v>18</v>
      </c>
      <c r="J385" s="13"/>
      <c r="K385" s="13"/>
      <c r="L385" s="23"/>
      <c r="M385" s="13"/>
      <c r="N385" s="23"/>
      <c r="O385" s="13"/>
      <c r="P385" s="14"/>
    </row>
    <row r="386" spans="2:16" x14ac:dyDescent="0.25">
      <c r="B386" s="12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4"/>
    </row>
    <row r="387" spans="2:16" x14ac:dyDescent="0.25">
      <c r="B387" s="12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4"/>
    </row>
    <row r="388" spans="2:16" x14ac:dyDescent="0.25">
      <c r="B388" s="12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4"/>
    </row>
    <row r="389" spans="2:16" ht="15.75" thickBot="1" x14ac:dyDescent="0.3">
      <c r="B389" s="25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8"/>
    </row>
    <row r="391" spans="2:16" ht="15.75" thickBot="1" x14ac:dyDescent="0.3">
      <c r="B391" s="2"/>
    </row>
    <row r="392" spans="2:16" ht="15.75" x14ac:dyDescent="0.25">
      <c r="B392" s="52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30">
        <v>911.1</v>
      </c>
      <c r="P392" s="11"/>
    </row>
    <row r="393" spans="2:16" x14ac:dyDescent="0.25">
      <c r="B393" s="12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23" t="s">
        <v>97</v>
      </c>
      <c r="P393" s="14"/>
    </row>
    <row r="394" spans="2:16" x14ac:dyDescent="0.25">
      <c r="B394" s="36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4"/>
    </row>
    <row r="395" spans="2:16" x14ac:dyDescent="0.25">
      <c r="B395" s="3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4"/>
    </row>
    <row r="396" spans="2:16" ht="15.75" x14ac:dyDescent="0.25">
      <c r="B396" s="12"/>
      <c r="C396" s="67" t="s">
        <v>114</v>
      </c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4"/>
    </row>
    <row r="397" spans="2:16" x14ac:dyDescent="0.25">
      <c r="B397" s="98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4"/>
    </row>
    <row r="398" spans="2:16" ht="15" customHeight="1" x14ac:dyDescent="0.25">
      <c r="B398" s="33"/>
      <c r="C398" s="155" t="s">
        <v>115</v>
      </c>
      <c r="D398" s="155"/>
      <c r="E398" s="155"/>
      <c r="F398" s="155"/>
      <c r="G398" s="13"/>
      <c r="H398" s="13"/>
      <c r="I398" s="13"/>
      <c r="J398" s="161" t="s">
        <v>21</v>
      </c>
      <c r="K398" s="161"/>
      <c r="L398" s="161"/>
      <c r="M398" s="161"/>
      <c r="N398" s="161"/>
      <c r="O398" s="13"/>
      <c r="P398" s="14"/>
    </row>
    <row r="399" spans="2:16" x14ac:dyDescent="0.25">
      <c r="B399" s="12"/>
      <c r="C399" s="155"/>
      <c r="D399" s="155"/>
      <c r="E399" s="155"/>
      <c r="F399" s="155"/>
      <c r="G399" s="13"/>
      <c r="H399" s="13"/>
      <c r="I399" s="13"/>
      <c r="J399" s="115"/>
      <c r="K399" s="115"/>
      <c r="L399" s="115"/>
      <c r="M399" s="115"/>
      <c r="N399" s="157" t="s">
        <v>160</v>
      </c>
      <c r="O399" s="13"/>
      <c r="P399" s="14"/>
    </row>
    <row r="400" spans="2:16" x14ac:dyDescent="0.25">
      <c r="B400" s="12"/>
      <c r="C400" s="155"/>
      <c r="D400" s="155"/>
      <c r="E400" s="155"/>
      <c r="F400" s="155"/>
      <c r="G400" s="13"/>
      <c r="H400" s="13"/>
      <c r="I400" s="13"/>
      <c r="J400" s="116" t="s">
        <v>116</v>
      </c>
      <c r="K400" s="117" t="s">
        <v>29</v>
      </c>
      <c r="L400" s="117" t="s">
        <v>30</v>
      </c>
      <c r="M400" s="117" t="s">
        <v>18</v>
      </c>
      <c r="N400" s="158"/>
      <c r="O400" s="13"/>
      <c r="P400" s="14"/>
    </row>
    <row r="401" spans="2:16" x14ac:dyDescent="0.25">
      <c r="B401" s="12"/>
      <c r="C401" s="155"/>
      <c r="D401" s="155"/>
      <c r="E401" s="155"/>
      <c r="F401" s="155"/>
      <c r="G401" s="13"/>
      <c r="H401" s="76" t="s">
        <v>203</v>
      </c>
      <c r="I401" s="13"/>
      <c r="J401" s="150">
        <f>IF($E$44="","",VLOOKUP($E$44,Base!$A$3:$GI$3,78,FALSE))</f>
        <v>1</v>
      </c>
      <c r="K401" s="150">
        <f>IF($E$44="","",VLOOKUP($E$44,Base!$A$3:$GI$3,79,FALSE))</f>
        <v>123</v>
      </c>
      <c r="L401" s="150">
        <f>IF($E$44="","",VLOOKUP($E$44,Base!$A$3:$GI$3,80,FALSE))</f>
        <v>41</v>
      </c>
      <c r="M401" s="150">
        <f>SUM(K401:L401)</f>
        <v>164</v>
      </c>
      <c r="N401" s="150">
        <f>IF($E$44="","",VLOOKUP($E$44,Base!$A$3:$GI$3,81,FALSE))</f>
        <v>0</v>
      </c>
      <c r="O401" s="13"/>
      <c r="P401" s="14"/>
    </row>
    <row r="402" spans="2:16" x14ac:dyDescent="0.25">
      <c r="B402" s="33"/>
      <c r="C402" s="13"/>
      <c r="D402" s="13"/>
      <c r="E402" s="13"/>
      <c r="F402" s="13"/>
      <c r="G402" s="13"/>
      <c r="H402" s="76" t="s">
        <v>202</v>
      </c>
      <c r="I402" s="13"/>
      <c r="J402" s="150">
        <f>IF($E$44="","",VLOOKUP($E$44,Base!$A$3:$GI$3,82,FALSE))</f>
        <v>0</v>
      </c>
      <c r="K402" s="150">
        <f>IF($E$44="","",VLOOKUP($E$44,Base!$A$3:$GI$3,83,FALSE))</f>
        <v>0</v>
      </c>
      <c r="L402" s="150">
        <f>IF($E$44="","",VLOOKUP($E$44,Base!$A$3:$GI$3,84,FALSE))</f>
        <v>0</v>
      </c>
      <c r="M402" s="150">
        <f t="shared" ref="M402:M405" si="1">SUM(K402:L402)</f>
        <v>0</v>
      </c>
      <c r="N402" s="150">
        <f>IF($E$44="","",VLOOKUP($E$44,Base!$A$3:$GI$3,85,FALSE))</f>
        <v>0</v>
      </c>
      <c r="O402" s="13"/>
      <c r="P402" s="14"/>
    </row>
    <row r="403" spans="2:16" x14ac:dyDescent="0.25">
      <c r="B403" s="33"/>
      <c r="C403" s="13"/>
      <c r="D403" s="13"/>
      <c r="E403" s="13"/>
      <c r="F403" s="13"/>
      <c r="G403" s="13"/>
      <c r="H403" s="99" t="s">
        <v>205</v>
      </c>
      <c r="I403" s="13"/>
      <c r="J403" s="150">
        <f>IF($E$44="","",VLOOKUP($E$44,Base!$A$3:$GI$3,86,FALSE))</f>
        <v>1</v>
      </c>
      <c r="K403" s="150">
        <f>IF($E$44="","",VLOOKUP($E$44,Base!$A$3:$GI$3,87,FALSE))</f>
        <v>45</v>
      </c>
      <c r="L403" s="150">
        <f>IF($E$44="","",VLOOKUP($E$44,Base!$A$3:$GI$3,88,FALSE))</f>
        <v>25</v>
      </c>
      <c r="M403" s="150">
        <f t="shared" si="1"/>
        <v>70</v>
      </c>
      <c r="N403" s="150">
        <f>IF($E$44="","",VLOOKUP($E$44,Base!$A$3:$GI$3,89,FALSE))</f>
        <v>0</v>
      </c>
      <c r="O403" s="13"/>
      <c r="P403" s="14"/>
    </row>
    <row r="404" spans="2:16" x14ac:dyDescent="0.25">
      <c r="B404" s="33"/>
      <c r="C404" s="13"/>
      <c r="D404" s="13"/>
      <c r="E404" s="13"/>
      <c r="F404" s="13"/>
      <c r="G404" s="13"/>
      <c r="H404" s="99" t="s">
        <v>204</v>
      </c>
      <c r="I404" s="13"/>
      <c r="J404" s="150">
        <f>IF($E$44="","",VLOOKUP($E$44,Base!$A$3:$GI$3,90,FALSE))</f>
        <v>0</v>
      </c>
      <c r="K404" s="150">
        <f>IF($E$44="","",VLOOKUP($E$44,Base!$A$3:$GI$3,91,FALSE))</f>
        <v>0</v>
      </c>
      <c r="L404" s="150">
        <f>IF($E$44="","",VLOOKUP($E$44,Base!$A$3:$GI$3,92,FALSE))</f>
        <v>0</v>
      </c>
      <c r="M404" s="150">
        <f t="shared" si="1"/>
        <v>0</v>
      </c>
      <c r="N404" s="150">
        <f>IF($E$44="","",VLOOKUP($E$44,Base!$A$3:$GI$3,93,FALSE))</f>
        <v>0</v>
      </c>
      <c r="O404" s="13"/>
      <c r="P404" s="14"/>
    </row>
    <row r="405" spans="2:16" ht="17.25" x14ac:dyDescent="0.25">
      <c r="B405" s="75"/>
      <c r="C405" s="13"/>
      <c r="D405" s="13"/>
      <c r="E405" s="13"/>
      <c r="F405" s="13"/>
      <c r="G405" s="13"/>
      <c r="H405" s="76" t="s">
        <v>38</v>
      </c>
      <c r="I405" s="13"/>
      <c r="J405" s="150">
        <f>IF($E$44="","",VLOOKUP($E$44,Base!$A$3:$GI$3,94,FALSE))</f>
        <v>0</v>
      </c>
      <c r="K405" s="150">
        <f>IF($E$44="","",VLOOKUP($E$44,Base!$A$3:$GI$3,95,FALSE))</f>
        <v>0</v>
      </c>
      <c r="L405" s="150">
        <f>IF($E$44="","",VLOOKUP($E$44,Base!$A$3:$GI$3,96,FALSE))</f>
        <v>0</v>
      </c>
      <c r="M405" s="150">
        <f t="shared" si="1"/>
        <v>0</v>
      </c>
      <c r="N405" s="150">
        <f>IF($E$44="","",VLOOKUP($E$44,Base!$A$3:$GI$3,97,FALSE))</f>
        <v>0</v>
      </c>
      <c r="O405" s="13"/>
      <c r="P405" s="14"/>
    </row>
    <row r="406" spans="2:16" x14ac:dyDescent="0.25">
      <c r="B406" s="12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4"/>
    </row>
    <row r="407" spans="2:16" x14ac:dyDescent="0.25">
      <c r="B407" s="12"/>
      <c r="C407" s="13"/>
      <c r="D407" s="13"/>
      <c r="E407" s="13"/>
      <c r="F407" s="13"/>
      <c r="G407" s="13"/>
      <c r="H407" s="68" t="s">
        <v>18</v>
      </c>
      <c r="I407" s="13"/>
      <c r="J407" s="150">
        <f>SUM(J401:J405)</f>
        <v>2</v>
      </c>
      <c r="K407" s="150">
        <f>SUM(K401:K405)</f>
        <v>168</v>
      </c>
      <c r="L407" s="150">
        <f>SUM(L401:L405)</f>
        <v>66</v>
      </c>
      <c r="M407" s="150">
        <f>SUM(M401:M405)</f>
        <v>234</v>
      </c>
      <c r="N407" s="150">
        <f>SUM(N401:N405)</f>
        <v>0</v>
      </c>
      <c r="O407" s="13"/>
      <c r="P407" s="14"/>
    </row>
    <row r="408" spans="2:16" x14ac:dyDescent="0.25">
      <c r="B408" s="3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4"/>
    </row>
    <row r="409" spans="2:16" x14ac:dyDescent="0.25">
      <c r="B409" s="3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4"/>
    </row>
    <row r="410" spans="2:16" ht="15.75" x14ac:dyDescent="0.25">
      <c r="B410" s="12"/>
      <c r="C410" s="67" t="s">
        <v>117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4"/>
    </row>
    <row r="411" spans="2:16" ht="17.25" x14ac:dyDescent="0.25">
      <c r="B411" s="75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4"/>
    </row>
    <row r="412" spans="2:16" x14ac:dyDescent="0.25">
      <c r="B412" s="12"/>
      <c r="C412" s="155" t="s">
        <v>118</v>
      </c>
      <c r="D412" s="155"/>
      <c r="E412" s="155"/>
      <c r="F412" s="155"/>
      <c r="G412" s="13"/>
      <c r="H412" s="167" t="s">
        <v>72</v>
      </c>
      <c r="I412" s="13"/>
      <c r="J412" s="164" t="s">
        <v>119</v>
      </c>
      <c r="K412" s="164"/>
      <c r="L412" s="13"/>
      <c r="M412" s="13"/>
      <c r="N412" s="13"/>
      <c r="O412" s="13"/>
      <c r="P412" s="14"/>
    </row>
    <row r="413" spans="2:16" x14ac:dyDescent="0.25">
      <c r="B413" s="12"/>
      <c r="C413" s="155"/>
      <c r="D413" s="155"/>
      <c r="E413" s="155"/>
      <c r="F413" s="155"/>
      <c r="G413" s="13"/>
      <c r="H413" s="167"/>
      <c r="I413" s="13"/>
      <c r="J413" s="164"/>
      <c r="K413" s="164"/>
      <c r="L413" s="13"/>
      <c r="M413" s="13"/>
      <c r="N413" s="13"/>
      <c r="O413" s="13"/>
      <c r="P413" s="14"/>
    </row>
    <row r="414" spans="2:16" x14ac:dyDescent="0.25">
      <c r="B414" s="33"/>
      <c r="C414" s="13"/>
      <c r="D414" s="13"/>
      <c r="E414" s="13"/>
      <c r="F414" s="13"/>
      <c r="G414" s="13"/>
      <c r="H414" s="18" t="s">
        <v>206</v>
      </c>
      <c r="I414" s="13"/>
      <c r="J414" s="153">
        <f>IF($E$44="","",VLOOKUP($E$44,Base!$A$3:$GI$3,98,FALSE))</f>
        <v>0</v>
      </c>
      <c r="K414" s="154"/>
      <c r="L414" s="13"/>
      <c r="M414" s="13"/>
      <c r="N414" s="13"/>
      <c r="O414" s="13"/>
      <c r="P414" s="14"/>
    </row>
    <row r="415" spans="2:16" x14ac:dyDescent="0.25">
      <c r="B415" s="33"/>
      <c r="C415" s="13"/>
      <c r="D415" s="13"/>
      <c r="E415" s="13"/>
      <c r="F415" s="13"/>
      <c r="G415" s="13"/>
      <c r="H415" s="18" t="s">
        <v>75</v>
      </c>
      <c r="I415" s="13"/>
      <c r="J415" s="153">
        <f>IF($E$44="","",VLOOKUP($E$44,Base!$A$3:$GI$3,99,FALSE))</f>
        <v>0</v>
      </c>
      <c r="K415" s="154"/>
      <c r="L415" s="13"/>
      <c r="M415" s="13"/>
      <c r="N415" s="13"/>
      <c r="O415" s="13"/>
      <c r="P415" s="14"/>
    </row>
    <row r="416" spans="2:16" x14ac:dyDescent="0.25">
      <c r="B416" s="12"/>
      <c r="C416" s="13"/>
      <c r="D416" s="13"/>
      <c r="E416" s="13"/>
      <c r="F416" s="13"/>
      <c r="G416" s="13"/>
      <c r="H416" s="18" t="s">
        <v>73</v>
      </c>
      <c r="I416" s="13"/>
      <c r="J416" s="153">
        <f>IF($E$44="","",VLOOKUP($E$44,Base!$A$3:$GI$3,100,FALSE))</f>
        <v>0</v>
      </c>
      <c r="K416" s="154"/>
      <c r="L416" s="13"/>
      <c r="M416" s="13"/>
      <c r="N416" s="13"/>
      <c r="O416" s="13"/>
      <c r="P416" s="14"/>
    </row>
    <row r="417" spans="2:16" x14ac:dyDescent="0.25">
      <c r="B417" s="38"/>
      <c r="C417" s="13"/>
      <c r="D417" s="13"/>
      <c r="E417" s="13"/>
      <c r="F417" s="13"/>
      <c r="G417" s="13"/>
      <c r="H417" s="18" t="s">
        <v>207</v>
      </c>
      <c r="I417" s="13"/>
      <c r="J417" s="153">
        <f>IF($E$44="","",VLOOKUP($E$44,Base!$A$3:$GI$3,101,FALSE))</f>
        <v>0</v>
      </c>
      <c r="K417" s="154"/>
      <c r="L417" s="13"/>
      <c r="M417" s="13"/>
      <c r="N417" s="13"/>
      <c r="O417" s="13"/>
      <c r="P417" s="14"/>
    </row>
    <row r="418" spans="2:16" x14ac:dyDescent="0.25">
      <c r="B418" s="33"/>
      <c r="C418" s="13"/>
      <c r="D418" s="13"/>
      <c r="E418" s="13"/>
      <c r="F418" s="13"/>
      <c r="G418" s="13"/>
      <c r="H418" s="18" t="s">
        <v>208</v>
      </c>
      <c r="I418" s="13"/>
      <c r="J418" s="153">
        <f>IF($E$44="","",VLOOKUP($E$44,Base!$A$3:$GI$3,102,FALSE))</f>
        <v>0</v>
      </c>
      <c r="K418" s="154"/>
      <c r="L418" s="13"/>
      <c r="M418" s="13"/>
      <c r="N418" s="13"/>
      <c r="O418" s="13"/>
      <c r="P418" s="14"/>
    </row>
    <row r="419" spans="2:16" x14ac:dyDescent="0.25">
      <c r="B419" s="12"/>
      <c r="C419" s="13"/>
      <c r="D419" s="13"/>
      <c r="E419" s="13"/>
      <c r="F419" s="13"/>
      <c r="G419" s="13"/>
      <c r="H419" s="18" t="s">
        <v>111</v>
      </c>
      <c r="I419" s="13"/>
      <c r="J419" s="153">
        <f>IF($E$44="","",VLOOKUP($E$44,Base!$A$3:$GI$3,103,FALSE))</f>
        <v>0</v>
      </c>
      <c r="K419" s="154"/>
      <c r="L419" s="13"/>
      <c r="M419" s="13"/>
      <c r="N419" s="13"/>
      <c r="O419" s="13"/>
      <c r="P419" s="14"/>
    </row>
    <row r="420" spans="2:16" x14ac:dyDescent="0.25">
      <c r="B420" s="12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4"/>
    </row>
    <row r="421" spans="2:16" x14ac:dyDescent="0.25">
      <c r="B421" s="12"/>
      <c r="C421" s="13"/>
      <c r="D421" s="13"/>
      <c r="E421" s="13"/>
      <c r="F421" s="13"/>
      <c r="G421" s="13"/>
      <c r="H421" s="18" t="s">
        <v>120</v>
      </c>
      <c r="I421" s="13"/>
      <c r="J421" s="152">
        <f>IF($E$44="","",VLOOKUP($E$44,Base!$A$3:$GI$3,104,FALSE))</f>
        <v>0</v>
      </c>
      <c r="K421" s="136"/>
      <c r="L421" s="20"/>
      <c r="M421" s="20"/>
      <c r="N421" s="13"/>
      <c r="O421" s="13"/>
      <c r="P421" s="14"/>
    </row>
    <row r="422" spans="2:16" x14ac:dyDescent="0.25">
      <c r="B422" s="3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4"/>
    </row>
    <row r="423" spans="2:16" x14ac:dyDescent="0.25">
      <c r="B423" s="33"/>
      <c r="C423" s="13"/>
      <c r="D423" s="13"/>
      <c r="E423" s="13"/>
      <c r="F423" s="13"/>
      <c r="G423" s="13"/>
      <c r="H423" s="91" t="s">
        <v>18</v>
      </c>
      <c r="I423" s="13"/>
      <c r="J423" s="153">
        <f>SUM(J414:J419)</f>
        <v>0</v>
      </c>
      <c r="K423" s="154"/>
      <c r="L423" s="13"/>
      <c r="M423" s="13"/>
      <c r="N423" s="13"/>
      <c r="O423" s="13"/>
      <c r="P423" s="14"/>
    </row>
    <row r="424" spans="2:16" x14ac:dyDescent="0.25">
      <c r="B424" s="12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4"/>
    </row>
    <row r="425" spans="2:16" x14ac:dyDescent="0.25">
      <c r="B425" s="12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4"/>
    </row>
    <row r="426" spans="2:16" ht="15.75" thickBot="1" x14ac:dyDescent="0.3">
      <c r="B426" s="25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8"/>
    </row>
    <row r="427" spans="2:16" x14ac:dyDescent="0.25">
      <c r="B427" s="1"/>
    </row>
    <row r="428" spans="2:16" ht="15.75" thickBot="1" x14ac:dyDescent="0.3">
      <c r="B428" s="6"/>
    </row>
    <row r="429" spans="2:16" ht="15.75" x14ac:dyDescent="0.25">
      <c r="B429" s="100"/>
      <c r="C429" s="165" t="s">
        <v>121</v>
      </c>
      <c r="D429" s="165"/>
      <c r="E429" s="165"/>
      <c r="F429" s="165"/>
      <c r="G429" s="10"/>
      <c r="H429" s="10"/>
      <c r="I429" s="10"/>
      <c r="J429" s="10"/>
      <c r="K429" s="10"/>
      <c r="L429" s="10"/>
      <c r="M429" s="10"/>
      <c r="N429" s="10"/>
      <c r="O429" s="30">
        <v>911.1</v>
      </c>
      <c r="P429" s="11"/>
    </row>
    <row r="430" spans="2:16" x14ac:dyDescent="0.25">
      <c r="B430" s="12"/>
      <c r="C430" s="166"/>
      <c r="D430" s="166"/>
      <c r="E430" s="166"/>
      <c r="F430" s="166"/>
      <c r="G430" s="13"/>
      <c r="H430" s="13"/>
      <c r="I430" s="13"/>
      <c r="J430" s="13"/>
      <c r="K430" s="13"/>
      <c r="L430" s="13"/>
      <c r="M430" s="13"/>
      <c r="N430" s="13"/>
      <c r="O430" s="123" t="s">
        <v>97</v>
      </c>
      <c r="P430" s="14"/>
    </row>
    <row r="431" spans="2:16" ht="7.5" customHeight="1" x14ac:dyDescent="0.25">
      <c r="B431" s="12"/>
      <c r="C431" s="101"/>
      <c r="D431" s="101"/>
      <c r="E431" s="101"/>
      <c r="F431" s="101"/>
      <c r="G431" s="13"/>
      <c r="H431" s="13"/>
      <c r="I431" s="13"/>
      <c r="J431" s="13"/>
      <c r="K431" s="13"/>
      <c r="L431" s="13"/>
      <c r="M431" s="13"/>
      <c r="N431" s="13"/>
      <c r="O431" s="123"/>
      <c r="P431" s="14"/>
    </row>
    <row r="432" spans="2:16" ht="15.75" x14ac:dyDescent="0.25">
      <c r="B432" s="33"/>
      <c r="C432" s="101"/>
      <c r="D432" s="101"/>
      <c r="E432" s="101"/>
      <c r="F432" s="101"/>
      <c r="G432" s="13"/>
      <c r="H432" s="13"/>
      <c r="I432" s="13"/>
      <c r="J432" s="13"/>
      <c r="K432" s="161" t="s">
        <v>21</v>
      </c>
      <c r="L432" s="161"/>
      <c r="M432" s="161"/>
      <c r="N432" s="161"/>
      <c r="O432" s="68"/>
      <c r="P432" s="14"/>
    </row>
    <row r="433" spans="2:16" ht="15.75" customHeight="1" x14ac:dyDescent="0.25">
      <c r="B433" s="12"/>
      <c r="C433" s="155" t="s">
        <v>122</v>
      </c>
      <c r="D433" s="155"/>
      <c r="E433" s="155"/>
      <c r="F433" s="155"/>
      <c r="G433" s="13"/>
      <c r="H433" s="13"/>
      <c r="I433" s="13"/>
      <c r="J433" s="13"/>
      <c r="K433" s="185" t="s">
        <v>29</v>
      </c>
      <c r="L433" s="185" t="s">
        <v>30</v>
      </c>
      <c r="M433" s="185" t="s">
        <v>18</v>
      </c>
      <c r="N433" s="157" t="s">
        <v>160</v>
      </c>
      <c r="O433" s="13"/>
      <c r="P433" s="14"/>
    </row>
    <row r="434" spans="2:16" ht="15" customHeight="1" x14ac:dyDescent="0.25">
      <c r="B434" s="12"/>
      <c r="C434" s="155"/>
      <c r="D434" s="155"/>
      <c r="E434" s="155"/>
      <c r="F434" s="155"/>
      <c r="G434" s="13"/>
      <c r="H434" s="17" t="s">
        <v>123</v>
      </c>
      <c r="I434" s="13"/>
      <c r="J434" s="13"/>
      <c r="K434" s="224"/>
      <c r="L434" s="224"/>
      <c r="M434" s="224"/>
      <c r="N434" s="158"/>
      <c r="O434" s="13"/>
      <c r="P434" s="14"/>
    </row>
    <row r="435" spans="2:16" x14ac:dyDescent="0.25">
      <c r="B435" s="55"/>
      <c r="C435" s="155"/>
      <c r="D435" s="155"/>
      <c r="E435" s="155"/>
      <c r="F435" s="155"/>
      <c r="G435" s="13"/>
      <c r="H435" s="18" t="s">
        <v>210</v>
      </c>
      <c r="I435" s="13"/>
      <c r="J435" s="13"/>
      <c r="K435" s="150">
        <f>IF($E$44="","",VLOOKUP($E$44,Base!$A$3:$GI$3,105,FALSE))</f>
        <v>46</v>
      </c>
      <c r="L435" s="150">
        <f>IF($E$44="","",VLOOKUP($E$44,Base!$A$3:$GI$3,106,FALSE))</f>
        <v>72</v>
      </c>
      <c r="M435" s="150">
        <f>SUM(K435:L435)</f>
        <v>118</v>
      </c>
      <c r="N435" s="150">
        <f>IF($E$44="","",VLOOKUP($E$44,Base!$A$3:$GI$3,107,FALSE))</f>
        <v>0</v>
      </c>
      <c r="O435" s="13"/>
      <c r="P435" s="14"/>
    </row>
    <row r="436" spans="2:16" x14ac:dyDescent="0.25">
      <c r="B436" s="33"/>
      <c r="C436" s="155"/>
      <c r="D436" s="155"/>
      <c r="E436" s="155"/>
      <c r="F436" s="155"/>
      <c r="G436" s="13"/>
      <c r="H436" s="18" t="s">
        <v>209</v>
      </c>
      <c r="I436" s="13"/>
      <c r="J436" s="13"/>
      <c r="K436" s="150">
        <f>IF($E$44="","",VLOOKUP($E$44,Base!$A$3:$GI$3,108,FALSE))</f>
        <v>362</v>
      </c>
      <c r="L436" s="150">
        <f>IF($E$44="","",VLOOKUP($E$44,Base!$A$3:$GI$3,109,FALSE))</f>
        <v>377</v>
      </c>
      <c r="M436" s="150">
        <f t="shared" ref="M436:M438" si="2">SUM(K436:L436)</f>
        <v>739</v>
      </c>
      <c r="N436" s="150">
        <f>IF($E$44="","",VLOOKUP($E$44,Base!$A$3:$GI$3,110,FALSE))</f>
        <v>0</v>
      </c>
      <c r="O436" s="13"/>
      <c r="P436" s="14"/>
    </row>
    <row r="437" spans="2:16" x14ac:dyDescent="0.25">
      <c r="B437" s="33"/>
      <c r="C437" s="13"/>
      <c r="D437" s="13"/>
      <c r="E437" s="13"/>
      <c r="F437" s="13"/>
      <c r="G437" s="13"/>
      <c r="H437" s="18" t="s">
        <v>124</v>
      </c>
      <c r="I437" s="13"/>
      <c r="J437" s="13"/>
      <c r="K437" s="150">
        <f>IF($E$44="","",VLOOKUP($E$44,Base!$A$3:$GI$3,111,FALSE))</f>
        <v>18</v>
      </c>
      <c r="L437" s="150">
        <f>IF($E$44="","",VLOOKUP($E$44,Base!$A$3:$GI$3,112,FALSE))</f>
        <v>14</v>
      </c>
      <c r="M437" s="150">
        <f t="shared" si="2"/>
        <v>32</v>
      </c>
      <c r="N437" s="150">
        <f>IF($E$44="","",VLOOKUP($E$44,Base!$A$3:$GI$3,113,FALSE))</f>
        <v>0</v>
      </c>
      <c r="O437" s="13"/>
      <c r="P437" s="14"/>
    </row>
    <row r="438" spans="2:16" x14ac:dyDescent="0.25">
      <c r="B438" s="12"/>
      <c r="C438" s="13"/>
      <c r="D438" s="13"/>
      <c r="E438" s="13"/>
      <c r="F438" s="13"/>
      <c r="G438" s="13"/>
      <c r="H438" s="18" t="s">
        <v>125</v>
      </c>
      <c r="I438" s="13"/>
      <c r="J438" s="13"/>
      <c r="K438" s="150">
        <f>IF($E$44="","",VLOOKUP($E$44,Base!$A$3:$GI$3,114,FALSE))</f>
        <v>2</v>
      </c>
      <c r="L438" s="150">
        <f>IF($E$44="","",VLOOKUP($E$44,Base!$A$3:$GI$3,115,FALSE))</f>
        <v>4</v>
      </c>
      <c r="M438" s="150">
        <f t="shared" si="2"/>
        <v>6</v>
      </c>
      <c r="N438" s="150">
        <f>IF($E$44="","",VLOOKUP($E$44,Base!$A$3:$GI$3,116,FALSE))</f>
        <v>0</v>
      </c>
      <c r="O438" s="13"/>
      <c r="P438" s="14"/>
    </row>
    <row r="439" spans="2:16" ht="8.25" customHeight="1" x14ac:dyDescent="0.25">
      <c r="B439" s="102"/>
      <c r="C439" s="13"/>
      <c r="D439" s="13"/>
      <c r="E439" s="13"/>
      <c r="F439" s="13"/>
      <c r="G439" s="13"/>
      <c r="H439" s="78"/>
      <c r="I439" s="13"/>
      <c r="J439" s="13"/>
      <c r="K439" s="13"/>
      <c r="L439" s="13"/>
      <c r="M439" s="13"/>
      <c r="N439" s="13"/>
      <c r="O439" s="13"/>
      <c r="P439" s="14"/>
    </row>
    <row r="440" spans="2:16" x14ac:dyDescent="0.25">
      <c r="B440" s="12"/>
      <c r="C440" s="13"/>
      <c r="D440" s="13"/>
      <c r="E440" s="13"/>
      <c r="F440" s="13"/>
      <c r="G440" s="13"/>
      <c r="H440" s="17" t="s">
        <v>18</v>
      </c>
      <c r="I440" s="13"/>
      <c r="J440" s="13"/>
      <c r="K440" s="150">
        <f>SUM(K435:K438)</f>
        <v>428</v>
      </c>
      <c r="L440" s="150">
        <f>SUM(L435:L438)</f>
        <v>467</v>
      </c>
      <c r="M440" s="150">
        <f>SUM(M435:M438)</f>
        <v>895</v>
      </c>
      <c r="N440" s="150">
        <f>SUM(N435:N438)</f>
        <v>0</v>
      </c>
      <c r="O440" s="13"/>
      <c r="P440" s="14"/>
    </row>
    <row r="441" spans="2:16" x14ac:dyDescent="0.25">
      <c r="B441" s="12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4"/>
    </row>
    <row r="442" spans="2:16" x14ac:dyDescent="0.25">
      <c r="B442" s="12"/>
      <c r="C442" s="155" t="s">
        <v>126</v>
      </c>
      <c r="D442" s="155"/>
      <c r="E442" s="155"/>
      <c r="F442" s="155"/>
      <c r="G442" s="13"/>
      <c r="H442" s="18" t="s">
        <v>210</v>
      </c>
      <c r="I442" s="13"/>
      <c r="J442" s="13"/>
      <c r="K442" s="150">
        <f>IF($E$44="","",VLOOKUP($E$44,Base!$A$3:$GI$3,117,FALSE))</f>
        <v>3</v>
      </c>
      <c r="L442" s="150">
        <f>IF($E$44="","",VLOOKUP($E$44,Base!$A$3:$GI$3,118,FALSE))</f>
        <v>2</v>
      </c>
      <c r="M442" s="150">
        <f t="shared" ref="M442:M445" si="3">SUM(K442:L442)</f>
        <v>5</v>
      </c>
      <c r="N442" s="150">
        <f>IF($E$44="","",VLOOKUP($E$44,Base!$A$3:$GI$3,119,FALSE))</f>
        <v>0</v>
      </c>
      <c r="O442" s="13"/>
      <c r="P442" s="14"/>
    </row>
    <row r="443" spans="2:16" x14ac:dyDescent="0.25">
      <c r="B443" s="12"/>
      <c r="C443" s="155"/>
      <c r="D443" s="155"/>
      <c r="E443" s="155"/>
      <c r="F443" s="155"/>
      <c r="G443" s="13"/>
      <c r="H443" s="18" t="s">
        <v>209</v>
      </c>
      <c r="I443" s="13"/>
      <c r="J443" s="13"/>
      <c r="K443" s="150">
        <f>IF($E$44="","",VLOOKUP($E$44,Base!$A$3:$GI$3,120,FALSE))</f>
        <v>153</v>
      </c>
      <c r="L443" s="150">
        <f>IF($E$44="","",VLOOKUP($E$44,Base!$A$3:$GI$3,121,FALSE))</f>
        <v>142</v>
      </c>
      <c r="M443" s="150">
        <f t="shared" si="3"/>
        <v>295</v>
      </c>
      <c r="N443" s="150">
        <f>IF($E$44="","",VLOOKUP($E$44,Base!$A$3:$GI$3,122,FALSE))</f>
        <v>0</v>
      </c>
      <c r="O443" s="13"/>
      <c r="P443" s="14"/>
    </row>
    <row r="444" spans="2:16" x14ac:dyDescent="0.25">
      <c r="B444" s="33"/>
      <c r="C444" s="155"/>
      <c r="D444" s="155"/>
      <c r="E444" s="155"/>
      <c r="F444" s="155"/>
      <c r="G444" s="13"/>
      <c r="H444" s="18" t="s">
        <v>124</v>
      </c>
      <c r="I444" s="13"/>
      <c r="J444" s="13"/>
      <c r="K444" s="150">
        <f>IF($E$44="","",VLOOKUP($E$44,Base!$A$3:$GI$3,123,FALSE))</f>
        <v>133</v>
      </c>
      <c r="L444" s="150">
        <f>IF($E$44="","",VLOOKUP($E$44,Base!$A$3:$GI$3,124,FALSE))</f>
        <v>123</v>
      </c>
      <c r="M444" s="150">
        <f t="shared" si="3"/>
        <v>256</v>
      </c>
      <c r="N444" s="150">
        <f>IF($E$44="","",VLOOKUP($E$44,Base!$A$3:$GI$3,125,FALSE))</f>
        <v>0</v>
      </c>
      <c r="O444" s="13"/>
      <c r="P444" s="14"/>
    </row>
    <row r="445" spans="2:16" x14ac:dyDescent="0.25">
      <c r="B445" s="33"/>
      <c r="C445" s="155"/>
      <c r="D445" s="155"/>
      <c r="E445" s="155"/>
      <c r="F445" s="155"/>
      <c r="G445" s="13"/>
      <c r="H445" s="18" t="s">
        <v>125</v>
      </c>
      <c r="I445" s="13"/>
      <c r="J445" s="13"/>
      <c r="K445" s="150">
        <f>IF($E$44="","",VLOOKUP($E$44,Base!$A$3:$GI$3,126,FALSE))</f>
        <v>0</v>
      </c>
      <c r="L445" s="150">
        <f>IF($E$44="","",VLOOKUP($E$44,Base!$A$3:$GI$3,127,FALSE))</f>
        <v>0</v>
      </c>
      <c r="M445" s="150">
        <f t="shared" si="3"/>
        <v>0</v>
      </c>
      <c r="N445" s="150">
        <f>IF($E$44="","",VLOOKUP($E$44,Base!$A$3:$GI$3,128,FALSE))</f>
        <v>0</v>
      </c>
      <c r="O445" s="13"/>
      <c r="P445" s="14"/>
    </row>
    <row r="446" spans="2:16" ht="6.75" customHeight="1" x14ac:dyDescent="0.25">
      <c r="B446" s="3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4"/>
    </row>
    <row r="447" spans="2:16" x14ac:dyDescent="0.25">
      <c r="B447" s="33"/>
      <c r="C447" s="13"/>
      <c r="D447" s="13"/>
      <c r="E447" s="13"/>
      <c r="F447" s="13"/>
      <c r="G447" s="13"/>
      <c r="H447" s="17" t="s">
        <v>18</v>
      </c>
      <c r="I447" s="13"/>
      <c r="J447" s="13"/>
      <c r="K447" s="150">
        <f>SUM(K442:K445)</f>
        <v>289</v>
      </c>
      <c r="L447" s="150">
        <f>SUM(L442:L445)</f>
        <v>267</v>
      </c>
      <c r="M447" s="150">
        <f>SUM(M442:M445)</f>
        <v>556</v>
      </c>
      <c r="N447" s="150">
        <f>SUM(N442:N445)</f>
        <v>0</v>
      </c>
      <c r="O447" s="13"/>
      <c r="P447" s="14"/>
    </row>
    <row r="448" spans="2:16" x14ac:dyDescent="0.25">
      <c r="B448" s="12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4"/>
    </row>
    <row r="449" spans="2:16" x14ac:dyDescent="0.25">
      <c r="B449" s="12"/>
      <c r="C449" s="13"/>
      <c r="D449" s="13"/>
      <c r="E449" s="13"/>
      <c r="F449" s="13"/>
      <c r="G449" s="13"/>
      <c r="H449" s="13"/>
      <c r="I449" s="13"/>
      <c r="J449" s="13"/>
      <c r="K449" s="161" t="s">
        <v>21</v>
      </c>
      <c r="L449" s="161"/>
      <c r="M449" s="161"/>
      <c r="N449" s="161"/>
      <c r="O449" s="13"/>
      <c r="P449" s="14"/>
    </row>
    <row r="450" spans="2:16" x14ac:dyDescent="0.25">
      <c r="B450" s="12"/>
      <c r="C450" s="156" t="s">
        <v>128</v>
      </c>
      <c r="D450" s="156"/>
      <c r="E450" s="156"/>
      <c r="F450" s="156"/>
      <c r="G450" s="13"/>
      <c r="H450" s="13"/>
      <c r="I450" s="162" t="s">
        <v>129</v>
      </c>
      <c r="J450" s="162"/>
      <c r="K450" s="163" t="s">
        <v>127</v>
      </c>
      <c r="L450" s="13"/>
      <c r="M450" s="164" t="s">
        <v>214</v>
      </c>
      <c r="N450" s="164"/>
      <c r="O450" s="13"/>
      <c r="P450" s="14"/>
    </row>
    <row r="451" spans="2:16" x14ac:dyDescent="0.25">
      <c r="B451" s="12"/>
      <c r="C451" s="156"/>
      <c r="D451" s="156"/>
      <c r="E451" s="156"/>
      <c r="F451" s="156"/>
      <c r="G451" s="13"/>
      <c r="H451" s="13"/>
      <c r="I451" s="162"/>
      <c r="J451" s="162"/>
      <c r="K451" s="163"/>
      <c r="L451" s="13"/>
      <c r="M451" s="164"/>
      <c r="N451" s="164"/>
      <c r="O451" s="13"/>
      <c r="P451" s="14"/>
    </row>
    <row r="452" spans="2:16" x14ac:dyDescent="0.25">
      <c r="B452" s="12"/>
      <c r="C452" s="156"/>
      <c r="D452" s="156"/>
      <c r="E452" s="156"/>
      <c r="F452" s="156"/>
      <c r="G452" s="13"/>
      <c r="H452" s="13"/>
      <c r="I452" s="76" t="s">
        <v>135</v>
      </c>
      <c r="J452" s="13"/>
      <c r="K452" s="150">
        <f>IF($E$44="","",VLOOKUP($E$44,Base!$A$3:$GI$3,129,FALSE))</f>
        <v>0</v>
      </c>
      <c r="L452" s="13"/>
      <c r="M452" s="153">
        <f>IF($E$44="","",VLOOKUP($E$44,Base!$A$3:$GI$3,132,FALSE))</f>
        <v>0</v>
      </c>
      <c r="N452" s="154"/>
      <c r="O452" s="13"/>
      <c r="P452" s="14"/>
    </row>
    <row r="453" spans="2:16" x14ac:dyDescent="0.25">
      <c r="B453" s="12"/>
      <c r="C453" s="99"/>
      <c r="D453" s="13"/>
      <c r="E453" s="13"/>
      <c r="F453" s="13"/>
      <c r="G453" s="13"/>
      <c r="H453" s="13"/>
      <c r="I453" s="76" t="s">
        <v>211</v>
      </c>
      <c r="J453" s="13"/>
      <c r="K453" s="150">
        <f>IF($E$44="","",VLOOKUP($E$44,Base!$A$3:$GI$3,130,FALSE))</f>
        <v>0</v>
      </c>
      <c r="L453" s="13"/>
      <c r="M453" s="153">
        <f>IF($E$44="","",VLOOKUP($E$44,Base!$A$3:$GI$3,133,FALSE))</f>
        <v>0</v>
      </c>
      <c r="N453" s="154"/>
      <c r="O453" s="13"/>
      <c r="P453" s="14"/>
    </row>
    <row r="454" spans="2:16" x14ac:dyDescent="0.25">
      <c r="B454" s="12"/>
      <c r="C454" s="13"/>
      <c r="D454" s="13"/>
      <c r="E454" s="13"/>
      <c r="F454" s="13"/>
      <c r="G454" s="13"/>
      <c r="H454" s="13"/>
      <c r="I454" s="76" t="s">
        <v>212</v>
      </c>
      <c r="J454" s="13"/>
      <c r="K454" s="150">
        <f>IF($E$44="","",VLOOKUP($E$44,Base!$A$3:$GI$3,131,FALSE))</f>
        <v>22</v>
      </c>
      <c r="L454" s="13"/>
      <c r="M454" s="153">
        <f>IF($E$44="","",VLOOKUP($E$44,Base!$A$3:$GI$3,134,FALSE))</f>
        <v>0</v>
      </c>
      <c r="N454" s="154"/>
      <c r="O454" s="13"/>
      <c r="P454" s="14"/>
    </row>
    <row r="455" spans="2:16" ht="6.75" customHeight="1" x14ac:dyDescent="0.25">
      <c r="B455" s="12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4"/>
    </row>
    <row r="456" spans="2:16" x14ac:dyDescent="0.25">
      <c r="B456" s="36"/>
      <c r="C456" s="13"/>
      <c r="D456" s="13"/>
      <c r="E456" s="13"/>
      <c r="F456" s="13"/>
      <c r="G456" s="13"/>
      <c r="H456" s="13"/>
      <c r="I456" s="68" t="s">
        <v>18</v>
      </c>
      <c r="J456" s="13"/>
      <c r="K456" s="150">
        <f>SUM(K452:K455)</f>
        <v>22</v>
      </c>
      <c r="L456" s="13"/>
      <c r="M456" s="153">
        <f>SUM(M452:M455)</f>
        <v>0</v>
      </c>
      <c r="N456" s="154"/>
      <c r="O456" s="13"/>
      <c r="P456" s="14"/>
    </row>
    <row r="457" spans="2:16" x14ac:dyDescent="0.25">
      <c r="B457" s="12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4"/>
    </row>
    <row r="458" spans="2:16" x14ac:dyDescent="0.25">
      <c r="B458" s="12"/>
      <c r="C458" s="156" t="s">
        <v>131</v>
      </c>
      <c r="D458" s="156"/>
      <c r="E458" s="156"/>
      <c r="F458" s="156"/>
      <c r="G458" s="13"/>
      <c r="H458" s="13"/>
      <c r="I458" s="13"/>
      <c r="J458" s="13"/>
      <c r="K458" s="161" t="s">
        <v>21</v>
      </c>
      <c r="L458" s="161"/>
      <c r="M458" s="161"/>
      <c r="N458" s="161"/>
      <c r="O458" s="13"/>
      <c r="P458" s="14"/>
    </row>
    <row r="459" spans="2:16" x14ac:dyDescent="0.25">
      <c r="B459" s="77"/>
      <c r="C459" s="156"/>
      <c r="D459" s="156"/>
      <c r="E459" s="156"/>
      <c r="F459" s="156"/>
      <c r="G459" s="13"/>
      <c r="H459" s="13"/>
      <c r="I459" s="162" t="s">
        <v>129</v>
      </c>
      <c r="J459" s="162"/>
      <c r="K459" s="163" t="s">
        <v>130</v>
      </c>
      <c r="L459" s="13"/>
      <c r="M459" s="164" t="s">
        <v>213</v>
      </c>
      <c r="N459" s="164"/>
      <c r="O459" s="13"/>
      <c r="P459" s="14"/>
    </row>
    <row r="460" spans="2:16" x14ac:dyDescent="0.25">
      <c r="B460" s="36"/>
      <c r="C460" s="156"/>
      <c r="D460" s="156"/>
      <c r="E460" s="156"/>
      <c r="F460" s="156"/>
      <c r="G460" s="13"/>
      <c r="H460" s="13"/>
      <c r="I460" s="162"/>
      <c r="J460" s="162"/>
      <c r="K460" s="163"/>
      <c r="L460" s="13"/>
      <c r="M460" s="164"/>
      <c r="N460" s="164"/>
      <c r="O460" s="13"/>
      <c r="P460" s="14"/>
    </row>
    <row r="461" spans="2:16" x14ac:dyDescent="0.25">
      <c r="B461" s="103"/>
      <c r="C461" s="156"/>
      <c r="D461" s="156"/>
      <c r="E461" s="156"/>
      <c r="F461" s="156"/>
      <c r="G461" s="13"/>
      <c r="H461" s="13"/>
      <c r="I461" s="76" t="s">
        <v>135</v>
      </c>
      <c r="J461" s="13"/>
      <c r="K461" s="150">
        <f>IF($E$44="","",VLOOKUP($E$44,Base!$A$3:$GI$3,135,FALSE))</f>
        <v>0</v>
      </c>
      <c r="L461" s="13"/>
      <c r="M461" s="153">
        <f>IF($E$44="","",VLOOKUP($E$44,Base!$A$3:$GI$3,138,FALSE))</f>
        <v>0</v>
      </c>
      <c r="N461" s="154"/>
      <c r="O461" s="13"/>
      <c r="P461" s="14"/>
    </row>
    <row r="462" spans="2:16" x14ac:dyDescent="0.25">
      <c r="B462" s="77"/>
      <c r="C462" s="13"/>
      <c r="D462" s="13"/>
      <c r="E462" s="13"/>
      <c r="F462" s="13"/>
      <c r="G462" s="13"/>
      <c r="H462" s="13"/>
      <c r="I462" s="76" t="s">
        <v>211</v>
      </c>
      <c r="J462" s="13"/>
      <c r="K462" s="150">
        <f>IF($E$44="","",VLOOKUP($E$44,Base!$A$3:$GI$3,136,FALSE))</f>
        <v>0</v>
      </c>
      <c r="L462" s="13"/>
      <c r="M462" s="153">
        <f>IF($E$44="","",VLOOKUP($E$44,Base!$A$3:$GI$3,139,FALSE))</f>
        <v>0</v>
      </c>
      <c r="N462" s="154"/>
      <c r="O462" s="13"/>
      <c r="P462" s="14"/>
    </row>
    <row r="463" spans="2:16" x14ac:dyDescent="0.25">
      <c r="B463" s="12"/>
      <c r="C463" s="13"/>
      <c r="D463" s="13"/>
      <c r="E463" s="13"/>
      <c r="F463" s="13"/>
      <c r="G463" s="13"/>
      <c r="H463" s="13"/>
      <c r="I463" s="76" t="s">
        <v>212</v>
      </c>
      <c r="J463" s="13"/>
      <c r="K463" s="150">
        <f>IF($E$44="","",VLOOKUP($E$44,Base!$A$3:$GI$3,137,FALSE))</f>
        <v>0</v>
      </c>
      <c r="L463" s="13"/>
      <c r="M463" s="153">
        <f>IF($E$44="","",VLOOKUP($E$44,Base!$A$3:$GI$3,140,FALSE))</f>
        <v>0</v>
      </c>
      <c r="N463" s="154"/>
      <c r="O463" s="13"/>
      <c r="P463" s="14"/>
    </row>
    <row r="464" spans="2:16" ht="6" customHeight="1" x14ac:dyDescent="0.25">
      <c r="B464" s="77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4"/>
    </row>
    <row r="465" spans="2:16" x14ac:dyDescent="0.25">
      <c r="B465" s="12"/>
      <c r="C465" s="13"/>
      <c r="D465" s="13"/>
      <c r="E465" s="13"/>
      <c r="F465" s="13"/>
      <c r="G465" s="13"/>
      <c r="H465" s="13"/>
      <c r="I465" s="68" t="s">
        <v>18</v>
      </c>
      <c r="J465" s="13"/>
      <c r="K465" s="150">
        <f>SUM(K461:K464)</f>
        <v>0</v>
      </c>
      <c r="L465" s="13"/>
      <c r="M465" s="153">
        <f>SUM(M461:M464)</f>
        <v>0</v>
      </c>
      <c r="N465" s="154"/>
      <c r="O465" s="13"/>
      <c r="P465" s="14"/>
    </row>
    <row r="466" spans="2:16" ht="16.5" thickBot="1" x14ac:dyDescent="0.3">
      <c r="B466" s="104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8"/>
    </row>
    <row r="467" spans="2:16" x14ac:dyDescent="0.25">
      <c r="B467" s="8"/>
    </row>
    <row r="468" spans="2:16" ht="15.75" thickBot="1" x14ac:dyDescent="0.3">
      <c r="B468" s="8"/>
    </row>
    <row r="469" spans="2:16" ht="15.75" x14ac:dyDescent="0.25">
      <c r="B469" s="105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30">
        <v>911.1</v>
      </c>
      <c r="P469" s="11"/>
    </row>
    <row r="470" spans="2:16" x14ac:dyDescent="0.25">
      <c r="B470" s="3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23" t="s">
        <v>97</v>
      </c>
      <c r="P470" s="14"/>
    </row>
    <row r="471" spans="2:16" ht="15.75" x14ac:dyDescent="0.25">
      <c r="B471" s="12"/>
      <c r="C471" s="67" t="s">
        <v>132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4"/>
    </row>
    <row r="472" spans="2:16" x14ac:dyDescent="0.25">
      <c r="B472" s="64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4"/>
    </row>
    <row r="473" spans="2:16" x14ac:dyDescent="0.25">
      <c r="B473" s="12"/>
      <c r="C473" s="155" t="s">
        <v>133</v>
      </c>
      <c r="D473" s="155"/>
      <c r="E473" s="155"/>
      <c r="F473" s="155"/>
      <c r="G473" s="13"/>
      <c r="H473" s="13"/>
      <c r="I473" s="13"/>
      <c r="J473" s="13"/>
      <c r="K473" s="13"/>
      <c r="L473" s="13"/>
      <c r="M473" s="13"/>
      <c r="N473" s="13"/>
      <c r="O473" s="13"/>
      <c r="P473" s="14"/>
    </row>
    <row r="474" spans="2:16" x14ac:dyDescent="0.25">
      <c r="B474" s="12"/>
      <c r="C474" s="155"/>
      <c r="D474" s="155"/>
      <c r="E474" s="155"/>
      <c r="F474" s="155"/>
      <c r="G474" s="13"/>
      <c r="H474" s="13"/>
      <c r="I474" s="17"/>
      <c r="J474" s="17"/>
      <c r="K474" s="17"/>
      <c r="L474" s="17"/>
      <c r="M474" s="17"/>
      <c r="N474" s="17"/>
      <c r="O474" s="17"/>
      <c r="P474" s="14"/>
    </row>
    <row r="475" spans="2:16" ht="21.75" customHeight="1" x14ac:dyDescent="0.25">
      <c r="B475" s="33"/>
      <c r="C475" s="13"/>
      <c r="D475" s="13"/>
      <c r="E475" s="13"/>
      <c r="F475" s="13"/>
      <c r="G475" s="13"/>
      <c r="H475" s="13"/>
      <c r="I475" s="159" t="s">
        <v>134</v>
      </c>
      <c r="J475" s="159"/>
      <c r="K475" s="159"/>
      <c r="L475" s="159"/>
      <c r="M475" s="159"/>
      <c r="N475" s="159"/>
      <c r="O475" s="159"/>
      <c r="P475" s="14"/>
    </row>
    <row r="476" spans="2:16" ht="21.75" customHeight="1" x14ac:dyDescent="0.25">
      <c r="B476" s="33"/>
      <c r="C476" s="13"/>
      <c r="D476" s="13"/>
      <c r="E476" s="13"/>
      <c r="F476" s="13"/>
      <c r="G476" s="13"/>
      <c r="H476" s="13"/>
      <c r="I476" s="160" t="s">
        <v>220</v>
      </c>
      <c r="J476" s="160" t="s">
        <v>221</v>
      </c>
      <c r="K476" s="160" t="s">
        <v>222</v>
      </c>
      <c r="L476" s="160" t="s">
        <v>223</v>
      </c>
      <c r="M476" s="160" t="s">
        <v>224</v>
      </c>
      <c r="N476" s="160" t="s">
        <v>136</v>
      </c>
      <c r="O476" s="160" t="s">
        <v>18</v>
      </c>
      <c r="P476" s="14"/>
    </row>
    <row r="477" spans="2:16" ht="21.75" customHeight="1" x14ac:dyDescent="0.25">
      <c r="B477" s="33"/>
      <c r="C477" s="13"/>
      <c r="D477" s="13"/>
      <c r="E477" s="13"/>
      <c r="F477" s="13"/>
      <c r="G477" s="13"/>
      <c r="H477" s="13"/>
      <c r="I477" s="160"/>
      <c r="J477" s="160"/>
      <c r="K477" s="160"/>
      <c r="L477" s="160"/>
      <c r="M477" s="160"/>
      <c r="N477" s="160"/>
      <c r="O477" s="160"/>
      <c r="P477" s="14"/>
    </row>
    <row r="478" spans="2:16" ht="21.75" customHeight="1" x14ac:dyDescent="0.25">
      <c r="B478" s="75"/>
      <c r="C478" s="13"/>
      <c r="D478" s="13"/>
      <c r="E478" s="13"/>
      <c r="F478" s="18" t="s">
        <v>215</v>
      </c>
      <c r="G478" s="13"/>
      <c r="H478" s="13"/>
      <c r="I478" s="150">
        <f>IF($E$44="","",VLOOKUP($E$44,Base!$A$3:$GI$3,141,FALSE))</f>
        <v>5</v>
      </c>
      <c r="J478" s="150">
        <f>IF($E$44="","",VLOOKUP($E$44,Base!$A$3:$GI$3,142,FALSE))</f>
        <v>0</v>
      </c>
      <c r="K478" s="150">
        <f>IF($E$44="","",VLOOKUP($E$44,Base!$A$3:$GI$3,143,FALSE))</f>
        <v>4</v>
      </c>
      <c r="L478" s="150">
        <f>IF($E$44="","",VLOOKUP($E$44,Base!$A$3:$GI$3,144,FALSE))</f>
        <v>0</v>
      </c>
      <c r="M478" s="150">
        <f>IF($E$44="","",VLOOKUP($E$44,Base!$A$3:$GI$3,145,FALSE))</f>
        <v>4</v>
      </c>
      <c r="N478" s="150">
        <f>IF($E$44="","",VLOOKUP($E$44,Base!$A$3:$GI$3,146,FALSE))</f>
        <v>6</v>
      </c>
      <c r="O478" s="150">
        <f>SUM(I478:N478)</f>
        <v>19</v>
      </c>
      <c r="P478" s="14"/>
    </row>
    <row r="479" spans="2:16" ht="21.75" customHeight="1" x14ac:dyDescent="0.25">
      <c r="B479" s="12"/>
      <c r="C479" s="13"/>
      <c r="D479" s="13"/>
      <c r="E479" s="13"/>
      <c r="F479" s="18" t="s">
        <v>216</v>
      </c>
      <c r="G479" s="13"/>
      <c r="H479" s="13"/>
      <c r="I479" s="150">
        <f>IF($E$44="","",VLOOKUP($E$44,Base!$A$3:$GI$3,147,FALSE))</f>
        <v>0</v>
      </c>
      <c r="J479" s="150">
        <f>IF($E$44="","",VLOOKUP($E$44,Base!$A$3:$GI$3,148,FALSE))</f>
        <v>0</v>
      </c>
      <c r="K479" s="150">
        <f>IF($E$44="","",VLOOKUP($E$44,Base!$A$3:$GI$3,149,FALSE))</f>
        <v>0</v>
      </c>
      <c r="L479" s="150">
        <f>IF($E$44="","",VLOOKUP($E$44,Base!$A$3:$GI$3,150,FALSE))</f>
        <v>0</v>
      </c>
      <c r="M479" s="150">
        <f>IF($E$44="","",VLOOKUP($E$44,Base!$A$3:$GI$3,151,FALSE))</f>
        <v>0</v>
      </c>
      <c r="N479" s="150">
        <f>IF($E$44="","",VLOOKUP($E$44,Base!$A$3:$GI$3,152,FALSE))</f>
        <v>0</v>
      </c>
      <c r="O479" s="150">
        <f t="shared" ref="O479:O482" si="4">SUM(I479:N479)</f>
        <v>0</v>
      </c>
      <c r="P479" s="14"/>
    </row>
    <row r="480" spans="2:16" ht="21.75" customHeight="1" x14ac:dyDescent="0.25">
      <c r="B480" s="12"/>
      <c r="C480" s="13"/>
      <c r="D480" s="13"/>
      <c r="E480" s="13"/>
      <c r="F480" s="18" t="s">
        <v>217</v>
      </c>
      <c r="G480" s="13"/>
      <c r="H480" s="13"/>
      <c r="I480" s="150">
        <f>IF($E$44="","",VLOOKUP($E$44,Base!$A$3:$GI$3,153,FALSE))</f>
        <v>0</v>
      </c>
      <c r="J480" s="150">
        <f>IF($E$44="","",VLOOKUP($E$44,Base!$A$3:$GI$3,154,FALSE))</f>
        <v>0</v>
      </c>
      <c r="K480" s="150">
        <f>IF($E$44="","",VLOOKUP($E$44,Base!$A$3:$GI$3,155,FALSE))</f>
        <v>6</v>
      </c>
      <c r="L480" s="150">
        <f>IF($E$44="","",VLOOKUP($E$44,Base!$A$3:$GI$3,156,FALSE))</f>
        <v>0</v>
      </c>
      <c r="M480" s="150">
        <f>IF($E$44="","",VLOOKUP($E$44,Base!$A$3:$GI$3,157,FALSE))</f>
        <v>0</v>
      </c>
      <c r="N480" s="150">
        <f>IF($E$44="","",VLOOKUP($E$44,Base!$A$3:$GI$3,158,FALSE))</f>
        <v>0</v>
      </c>
      <c r="O480" s="150">
        <f>SUM(I480:N480)</f>
        <v>6</v>
      </c>
      <c r="P480" s="14"/>
    </row>
    <row r="481" spans="2:16" ht="21.75" customHeight="1" x14ac:dyDescent="0.25">
      <c r="B481" s="102"/>
      <c r="C481" s="13"/>
      <c r="D481" s="13"/>
      <c r="E481" s="13"/>
      <c r="F481" s="18" t="s">
        <v>218</v>
      </c>
      <c r="G481" s="13"/>
      <c r="H481" s="13"/>
      <c r="I481" s="150">
        <f>IF($E$44="","",VLOOKUP($E$44,Base!$A$3:$GI$3,159,FALSE))</f>
        <v>0</v>
      </c>
      <c r="J481" s="150">
        <f>IF($E$44="","",VLOOKUP($E$44,Base!$A$3:$GI$3,160,FALSE))</f>
        <v>0</v>
      </c>
      <c r="K481" s="150">
        <f>IF($E$44="","",VLOOKUP($E$44,Base!$A$3:$GI$3,161,FALSE))</f>
        <v>0</v>
      </c>
      <c r="L481" s="150">
        <f>IF($E$44="","",VLOOKUP($E$44,Base!$A$3:$GI$3,162,FALSE))</f>
        <v>0</v>
      </c>
      <c r="M481" s="150">
        <f>IF($E$44="","",VLOOKUP($E$44,Base!$A$3:$GI$3,163,FALSE))</f>
        <v>0</v>
      </c>
      <c r="N481" s="150">
        <f>IF($E$44="","",VLOOKUP($E$44,Base!$A$3:$GI$3,164,FALSE))</f>
        <v>0</v>
      </c>
      <c r="O481" s="150">
        <f t="shared" si="4"/>
        <v>0</v>
      </c>
      <c r="P481" s="14"/>
    </row>
    <row r="482" spans="2:16" ht="21.75" customHeight="1" x14ac:dyDescent="0.25">
      <c r="B482" s="39"/>
      <c r="C482" s="13"/>
      <c r="D482" s="13"/>
      <c r="E482" s="13"/>
      <c r="F482" s="18" t="s">
        <v>219</v>
      </c>
      <c r="G482" s="13"/>
      <c r="H482" s="13"/>
      <c r="I482" s="150">
        <f>IF($E$44="","",VLOOKUP($E$44,Base!$A$3:$GI$3,165,FALSE))</f>
        <v>0</v>
      </c>
      <c r="J482" s="150">
        <f>IF($E$44="","",VLOOKUP($E$44,Base!$A$3:$GI$3,166,FALSE))</f>
        <v>0</v>
      </c>
      <c r="K482" s="150">
        <f>IF($E$44="","",VLOOKUP($E$44,Base!$A$3:$GI$3,167,FALSE))</f>
        <v>0</v>
      </c>
      <c r="L482" s="150">
        <f>IF($E$44="","",VLOOKUP($E$44,Base!$A$3:$GI$3,168,FALSE))</f>
        <v>0</v>
      </c>
      <c r="M482" s="150">
        <f>IF($E$44="","",VLOOKUP($E$44,Base!$A$3:$GI$3,169,FALSE))</f>
        <v>0</v>
      </c>
      <c r="N482" s="150">
        <f>IF($E$44="","",VLOOKUP($E$44,Base!$A$3:$GI$3,170,FALSE))</f>
        <v>0</v>
      </c>
      <c r="O482" s="150">
        <f t="shared" si="4"/>
        <v>0</v>
      </c>
      <c r="P482" s="14"/>
    </row>
    <row r="483" spans="2:16" ht="21.75" customHeight="1" x14ac:dyDescent="0.25">
      <c r="B483" s="12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4"/>
    </row>
    <row r="484" spans="2:16" ht="21.75" customHeight="1" x14ac:dyDescent="0.25">
      <c r="B484" s="12"/>
      <c r="C484" s="13"/>
      <c r="D484" s="13"/>
      <c r="E484" s="13"/>
      <c r="F484" s="17" t="s">
        <v>18</v>
      </c>
      <c r="G484" s="13"/>
      <c r="H484" s="13"/>
      <c r="I484" s="150">
        <f t="shared" ref="I484:O484" si="5">SUM(I478:I483)</f>
        <v>5</v>
      </c>
      <c r="J484" s="150">
        <f t="shared" si="5"/>
        <v>0</v>
      </c>
      <c r="K484" s="150">
        <f t="shared" si="5"/>
        <v>10</v>
      </c>
      <c r="L484" s="150">
        <f t="shared" si="5"/>
        <v>0</v>
      </c>
      <c r="M484" s="150">
        <f t="shared" si="5"/>
        <v>4</v>
      </c>
      <c r="N484" s="150">
        <f t="shared" si="5"/>
        <v>6</v>
      </c>
      <c r="O484" s="150">
        <f t="shared" si="5"/>
        <v>25</v>
      </c>
      <c r="P484" s="14"/>
    </row>
    <row r="485" spans="2:16" x14ac:dyDescent="0.25">
      <c r="B485" s="12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4"/>
    </row>
    <row r="486" spans="2:16" x14ac:dyDescent="0.25">
      <c r="B486" s="12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4"/>
    </row>
    <row r="487" spans="2:16" x14ac:dyDescent="0.25">
      <c r="B487" s="12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4"/>
    </row>
    <row r="488" spans="2:16" x14ac:dyDescent="0.25">
      <c r="B488" s="12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4"/>
    </row>
    <row r="489" spans="2:16" x14ac:dyDescent="0.25">
      <c r="B489" s="106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4"/>
    </row>
    <row r="490" spans="2:16" x14ac:dyDescent="0.25">
      <c r="B490" s="106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4"/>
    </row>
    <row r="491" spans="2:16" x14ac:dyDescent="0.25">
      <c r="B491" s="106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4"/>
    </row>
    <row r="492" spans="2:16" x14ac:dyDescent="0.25">
      <c r="B492" s="106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4"/>
    </row>
    <row r="493" spans="2:16" x14ac:dyDescent="0.25">
      <c r="B493" s="106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4"/>
    </row>
    <row r="494" spans="2:16" x14ac:dyDescent="0.25">
      <c r="B494" s="107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4"/>
    </row>
    <row r="495" spans="2:16" x14ac:dyDescent="0.25">
      <c r="B495" s="12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4"/>
    </row>
    <row r="496" spans="2:16" x14ac:dyDescent="0.25">
      <c r="B496" s="106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4"/>
    </row>
    <row r="497" spans="2:16" x14ac:dyDescent="0.25">
      <c r="B497" s="10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4"/>
    </row>
    <row r="498" spans="2:16" x14ac:dyDescent="0.25">
      <c r="B498" s="12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4"/>
    </row>
    <row r="499" spans="2:16" ht="15.75" thickBot="1" x14ac:dyDescent="0.3">
      <c r="B499" s="108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8"/>
    </row>
    <row r="500" spans="2:16" x14ac:dyDescent="0.25">
      <c r="B500" s="32"/>
    </row>
    <row r="501" spans="2:16" ht="15.75" thickBot="1" x14ac:dyDescent="0.3">
      <c r="B501" s="32"/>
    </row>
    <row r="502" spans="2:16" ht="15.75" x14ac:dyDescent="0.25">
      <c r="B502" s="41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30">
        <v>911.1</v>
      </c>
      <c r="P502" s="11"/>
    </row>
    <row r="503" spans="2:16" ht="15.75" x14ac:dyDescent="0.25">
      <c r="B503" s="12"/>
      <c r="C503" s="67" t="s">
        <v>137</v>
      </c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23" t="s">
        <v>97</v>
      </c>
      <c r="P503" s="14"/>
    </row>
    <row r="504" spans="2:16" ht="15.75" x14ac:dyDescent="0.25">
      <c r="B504" s="12"/>
      <c r="C504" s="67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23"/>
      <c r="P504" s="14"/>
    </row>
    <row r="505" spans="2:16" x14ac:dyDescent="0.25">
      <c r="B505" s="33"/>
      <c r="C505" s="155" t="s">
        <v>138</v>
      </c>
      <c r="D505" s="155"/>
      <c r="E505" s="155"/>
      <c r="F505" s="155"/>
      <c r="G505" s="13"/>
      <c r="H505" s="13"/>
      <c r="I505" s="13"/>
      <c r="J505" s="13"/>
      <c r="K505" s="159" t="s">
        <v>83</v>
      </c>
      <c r="L505" s="159"/>
      <c r="M505" s="159"/>
      <c r="N505" s="159"/>
      <c r="O505" s="13"/>
      <c r="P505" s="14"/>
    </row>
    <row r="506" spans="2:16" x14ac:dyDescent="0.25">
      <c r="B506" s="33"/>
      <c r="C506" s="155"/>
      <c r="D506" s="155"/>
      <c r="E506" s="155"/>
      <c r="F506" s="155"/>
      <c r="G506" s="13"/>
      <c r="H506" s="13"/>
      <c r="I506" s="13"/>
      <c r="J506" s="13"/>
      <c r="K506" s="185" t="s">
        <v>29</v>
      </c>
      <c r="L506" s="185" t="s">
        <v>30</v>
      </c>
      <c r="M506" s="185" t="s">
        <v>18</v>
      </c>
      <c r="N506" s="157" t="s">
        <v>160</v>
      </c>
      <c r="O506" s="13"/>
      <c r="P506" s="14"/>
    </row>
    <row r="507" spans="2:16" x14ac:dyDescent="0.25">
      <c r="B507" s="12"/>
      <c r="C507" s="155"/>
      <c r="D507" s="155"/>
      <c r="E507" s="155"/>
      <c r="F507" s="155"/>
      <c r="G507" s="13"/>
      <c r="H507" s="13"/>
      <c r="I507" s="13"/>
      <c r="J507" s="13"/>
      <c r="K507" s="224"/>
      <c r="L507" s="224"/>
      <c r="M507" s="224"/>
      <c r="N507" s="158"/>
      <c r="O507" s="13"/>
      <c r="P507" s="14"/>
    </row>
    <row r="508" spans="2:16" x14ac:dyDescent="0.25">
      <c r="B508" s="12"/>
      <c r="C508" s="13"/>
      <c r="D508" s="13"/>
      <c r="E508" s="13"/>
      <c r="F508" s="13"/>
      <c r="G508" s="13"/>
      <c r="H508" s="13"/>
      <c r="I508" s="13"/>
      <c r="J508" s="13"/>
      <c r="K508" s="151">
        <f>+K515</f>
        <v>12</v>
      </c>
      <c r="L508" s="151">
        <f>+L515</f>
        <v>22</v>
      </c>
      <c r="M508" s="151">
        <f>+M515</f>
        <v>34</v>
      </c>
      <c r="N508" s="151">
        <f>+N515</f>
        <v>0</v>
      </c>
      <c r="O508" s="13"/>
      <c r="P508" s="14"/>
    </row>
    <row r="509" spans="2:16" x14ac:dyDescent="0.25">
      <c r="B509" s="12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4"/>
    </row>
    <row r="510" spans="2:16" x14ac:dyDescent="0.25">
      <c r="B510" s="98"/>
      <c r="C510" s="155" t="s">
        <v>139</v>
      </c>
      <c r="D510" s="155"/>
      <c r="E510" s="155"/>
      <c r="F510" s="155"/>
      <c r="G510" s="13"/>
      <c r="H510" s="13"/>
      <c r="I510" s="17" t="s">
        <v>179</v>
      </c>
      <c r="J510" s="13"/>
      <c r="K510" s="13"/>
      <c r="L510" s="13"/>
      <c r="M510" s="13"/>
      <c r="N510" s="13"/>
      <c r="O510" s="13"/>
      <c r="P510" s="14"/>
    </row>
    <row r="511" spans="2:16" x14ac:dyDescent="0.25">
      <c r="B511" s="33"/>
      <c r="C511" s="155"/>
      <c r="D511" s="155"/>
      <c r="E511" s="155"/>
      <c r="F511" s="155"/>
      <c r="G511" s="13"/>
      <c r="H511" s="13"/>
      <c r="I511" s="18" t="s">
        <v>84</v>
      </c>
      <c r="J511" s="13"/>
      <c r="K511" s="150">
        <f>IF($E$44="","",VLOOKUP($E$44,Base!$A$3:$GI$3,171,FALSE))</f>
        <v>1</v>
      </c>
      <c r="L511" s="150">
        <f>IF($E$44="","",VLOOKUP($E$44,Base!$A$3:$GI$3,172,FALSE))</f>
        <v>4</v>
      </c>
      <c r="M511" s="150">
        <f>SUM(K511:L511)</f>
        <v>5</v>
      </c>
      <c r="N511" s="150">
        <f>IF($E$44="","",VLOOKUP($E$44,Base!$A$3:$GI$3,173,FALSE))</f>
        <v>0</v>
      </c>
      <c r="O511" s="13"/>
      <c r="P511" s="14"/>
    </row>
    <row r="512" spans="2:16" x14ac:dyDescent="0.25">
      <c r="B512" s="33"/>
      <c r="C512" s="155"/>
      <c r="D512" s="155"/>
      <c r="E512" s="155"/>
      <c r="F512" s="155"/>
      <c r="G512" s="13"/>
      <c r="H512" s="13"/>
      <c r="I512" s="18" t="s">
        <v>85</v>
      </c>
      <c r="J512" s="13"/>
      <c r="K512" s="150">
        <f>IF($E$44="","",VLOOKUP($E$44,Base!$A$3:$GI$3,174,FALSE))</f>
        <v>0</v>
      </c>
      <c r="L512" s="150">
        <f>IF($E$44="","",VLOOKUP($E$44,Base!$A$3:$GI$3,175,FALSE))</f>
        <v>0</v>
      </c>
      <c r="M512" s="150">
        <f>SUM(K512:L512)</f>
        <v>0</v>
      </c>
      <c r="N512" s="150">
        <f>IF($E$44="","",VLOOKUP($E$44,Base!$A$3:$GI$3,176,FALSE))</f>
        <v>0</v>
      </c>
      <c r="O512" s="13"/>
      <c r="P512" s="14"/>
    </row>
    <row r="513" spans="2:16" x14ac:dyDescent="0.25">
      <c r="B513" s="33"/>
      <c r="C513" s="155"/>
      <c r="D513" s="155"/>
      <c r="E513" s="155"/>
      <c r="F513" s="155"/>
      <c r="G513" s="13"/>
      <c r="H513" s="13"/>
      <c r="I513" s="18" t="s">
        <v>86</v>
      </c>
      <c r="J513" s="13"/>
      <c r="K513" s="150">
        <f>IF($E$44="","",VLOOKUP($E$44,Base!$A$3:$GI$3,177,FALSE))</f>
        <v>11</v>
      </c>
      <c r="L513" s="150">
        <f>IF($E$44="","",VLOOKUP($E$44,Base!$A$3:$GI$3,178,FALSE))</f>
        <v>18</v>
      </c>
      <c r="M513" s="150">
        <f>SUM(K513:L513)</f>
        <v>29</v>
      </c>
      <c r="N513" s="150">
        <f>IF($E$44="","",VLOOKUP($E$44,Base!$A$3:$GI$3,179,FALSE))</f>
        <v>0</v>
      </c>
      <c r="O513" s="13"/>
      <c r="P513" s="14"/>
    </row>
    <row r="514" spans="2:16" x14ac:dyDescent="0.25">
      <c r="B514" s="3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4"/>
    </row>
    <row r="515" spans="2:16" x14ac:dyDescent="0.25">
      <c r="B515" s="12"/>
      <c r="C515" s="13"/>
      <c r="D515" s="13"/>
      <c r="E515" s="13"/>
      <c r="F515" s="13"/>
      <c r="G515" s="13"/>
      <c r="H515" s="13"/>
      <c r="I515" s="17" t="s">
        <v>18</v>
      </c>
      <c r="J515" s="13"/>
      <c r="K515" s="150">
        <f>SUM(K511:K514)</f>
        <v>12</v>
      </c>
      <c r="L515" s="150">
        <f>SUM(L511:L514)</f>
        <v>22</v>
      </c>
      <c r="M515" s="150">
        <f>SUM(M511:M514)</f>
        <v>34</v>
      </c>
      <c r="N515" s="150">
        <f>SUM(N511:N514)</f>
        <v>0</v>
      </c>
      <c r="O515" s="13"/>
      <c r="P515" s="14"/>
    </row>
    <row r="516" spans="2:16" x14ac:dyDescent="0.25">
      <c r="B516" s="12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4"/>
    </row>
    <row r="517" spans="2:16" ht="15" customHeight="1" x14ac:dyDescent="0.25">
      <c r="B517" s="12"/>
      <c r="C517" s="155" t="s">
        <v>140</v>
      </c>
      <c r="D517" s="155"/>
      <c r="E517" s="155"/>
      <c r="F517" s="155"/>
      <c r="G517" s="13"/>
      <c r="H517" s="13"/>
      <c r="I517" s="17" t="s">
        <v>87</v>
      </c>
      <c r="J517" s="13"/>
      <c r="O517" s="13"/>
      <c r="P517" s="14"/>
    </row>
    <row r="518" spans="2:16" x14ac:dyDescent="0.25">
      <c r="B518" s="12"/>
      <c r="C518" s="155"/>
      <c r="D518" s="155"/>
      <c r="E518" s="155"/>
      <c r="F518" s="155"/>
      <c r="G518" s="13"/>
      <c r="H518" s="13"/>
      <c r="I518" s="18" t="s">
        <v>225</v>
      </c>
      <c r="J518" s="13"/>
      <c r="K518" s="150">
        <f>IF($E$44="","",VLOOKUP($E$44,Base!$A$3:$GI$3,180,FALSE))</f>
        <v>6</v>
      </c>
      <c r="L518" s="150">
        <f>IF($E$44="","",VLOOKUP($E$44,Base!$A$3:$GI$3,181,FALSE))</f>
        <v>3</v>
      </c>
      <c r="M518" s="150">
        <f>SUM(K518:L518)</f>
        <v>9</v>
      </c>
      <c r="N518" s="150">
        <f>IF($E$44="","",VLOOKUP($E$44,Base!$A$3:$GI$3,185,FALSE))</f>
        <v>0</v>
      </c>
      <c r="O518" s="13"/>
      <c r="P518" s="14"/>
    </row>
    <row r="519" spans="2:16" x14ac:dyDescent="0.25">
      <c r="B519" s="12"/>
      <c r="C519" s="155"/>
      <c r="D519" s="155"/>
      <c r="E519" s="155"/>
      <c r="F519" s="155"/>
      <c r="G519" s="13"/>
      <c r="H519" s="13"/>
      <c r="I519" s="18" t="s">
        <v>159</v>
      </c>
      <c r="J519" s="13"/>
      <c r="K519" s="150">
        <f>IF($E$44="","",VLOOKUP($E$44,Base!$A$3:$GI$3,183,FALSE))</f>
        <v>6</v>
      </c>
      <c r="L519" s="150">
        <f>IF($E$44="","",VLOOKUP($E$44,Base!$A$3:$GI$3,184,FALSE))</f>
        <v>19</v>
      </c>
      <c r="M519" s="150">
        <f>SUM(K519:L519)</f>
        <v>25</v>
      </c>
      <c r="N519" s="150">
        <f>IF($E$44="","",VLOOKUP($E$44,Base!$A$3:$GI$3,185,FALSE))</f>
        <v>0</v>
      </c>
      <c r="O519" s="13"/>
      <c r="P519" s="14"/>
    </row>
    <row r="520" spans="2:16" ht="17.25" x14ac:dyDescent="0.25">
      <c r="B520" s="75"/>
      <c r="C520" s="68" t="s">
        <v>26</v>
      </c>
      <c r="D520" s="13"/>
      <c r="E520" s="13"/>
      <c r="F520" s="13"/>
      <c r="G520" s="13"/>
      <c r="H520" s="13"/>
      <c r="I520" s="18" t="s">
        <v>136</v>
      </c>
      <c r="J520" s="13"/>
      <c r="K520" s="150">
        <f>IF($E$44="","",VLOOKUP($E$44,Base!$A$3:$GI$3,186,FALSE))</f>
        <v>0</v>
      </c>
      <c r="L520" s="150">
        <f>IF($E$44="","",VLOOKUP($E$44,Base!$A$3:$GI$3,187,FALSE))</f>
        <v>0</v>
      </c>
      <c r="M520" s="150">
        <f>SUM(K520:L520)</f>
        <v>0</v>
      </c>
      <c r="N520" s="150">
        <f>IF($E$44="","",VLOOKUP($E$44,Base!$A$3:$GI$3,188,FALSE))</f>
        <v>0</v>
      </c>
      <c r="O520" s="13"/>
      <c r="P520" s="14"/>
    </row>
    <row r="521" spans="2:16" x14ac:dyDescent="0.25">
      <c r="B521" s="12"/>
      <c r="C521" s="156" t="s">
        <v>141</v>
      </c>
      <c r="D521" s="156"/>
      <c r="E521" s="156"/>
      <c r="F521" s="156"/>
      <c r="G521" s="13"/>
      <c r="H521" s="13"/>
      <c r="I521" s="13"/>
      <c r="J521" s="13"/>
      <c r="K521" s="13"/>
      <c r="L521" s="13"/>
      <c r="M521" s="13"/>
      <c r="N521" s="13"/>
      <c r="O521" s="13"/>
      <c r="P521" s="14"/>
    </row>
    <row r="522" spans="2:16" ht="15" customHeight="1" x14ac:dyDescent="0.25">
      <c r="B522" s="12"/>
      <c r="C522" s="156"/>
      <c r="D522" s="156"/>
      <c r="E522" s="156"/>
      <c r="F522" s="156"/>
      <c r="G522" s="13"/>
      <c r="H522" s="13"/>
      <c r="I522" s="17" t="s">
        <v>18</v>
      </c>
      <c r="J522" s="13"/>
      <c r="K522" s="150">
        <f>SUM(K518:K521)</f>
        <v>12</v>
      </c>
      <c r="L522" s="150">
        <f>SUM(L518:L521)</f>
        <v>22</v>
      </c>
      <c r="M522" s="150">
        <f>SUM(M518:M521)</f>
        <v>34</v>
      </c>
      <c r="N522" s="150">
        <f>SUM(N517:N521)</f>
        <v>0</v>
      </c>
      <c r="O522" s="13"/>
      <c r="P522" s="14"/>
    </row>
    <row r="523" spans="2:16" x14ac:dyDescent="0.25">
      <c r="B523" s="82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4"/>
    </row>
    <row r="524" spans="2:16" x14ac:dyDescent="0.25">
      <c r="B524" s="3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4"/>
    </row>
    <row r="525" spans="2:16" x14ac:dyDescent="0.25">
      <c r="B525" s="12"/>
      <c r="C525" s="155" t="s">
        <v>142</v>
      </c>
      <c r="D525" s="155"/>
      <c r="E525" s="155"/>
      <c r="F525" s="155"/>
      <c r="G525" s="13"/>
      <c r="H525" s="13"/>
      <c r="I525" s="17" t="s">
        <v>90</v>
      </c>
      <c r="J525" s="13"/>
      <c r="K525" s="13"/>
      <c r="L525" s="13"/>
      <c r="M525" s="13"/>
      <c r="N525" s="13"/>
      <c r="O525" s="13"/>
      <c r="P525" s="14"/>
    </row>
    <row r="526" spans="2:16" x14ac:dyDescent="0.25">
      <c r="B526" s="12"/>
      <c r="C526" s="155"/>
      <c r="D526" s="155"/>
      <c r="E526" s="155"/>
      <c r="F526" s="155"/>
      <c r="G526" s="13"/>
      <c r="H526" s="13"/>
      <c r="I526" s="18" t="s">
        <v>91</v>
      </c>
      <c r="J526" s="13"/>
      <c r="K526" s="150">
        <f>IF($E$44="","",VLOOKUP($E$44,Base!$A$3:$GI$3,189,FALSE))</f>
        <v>12</v>
      </c>
      <c r="L526" s="150">
        <f>IF($E$44="","",VLOOKUP($E$44,Base!$A$3:$GI$3,190,FALSE))</f>
        <v>22</v>
      </c>
      <c r="M526" s="150">
        <f t="shared" ref="M526:M531" si="6">SUM(K526:L526)</f>
        <v>34</v>
      </c>
      <c r="N526" s="150">
        <f>IF($E$44="","",VLOOKUP($E$44,Base!$A$3:$GI$3,191,FALSE))</f>
        <v>0</v>
      </c>
      <c r="O526" s="13"/>
      <c r="P526" s="14"/>
    </row>
    <row r="527" spans="2:16" x14ac:dyDescent="0.25">
      <c r="B527" s="12"/>
      <c r="C527" s="155"/>
      <c r="D527" s="155"/>
      <c r="E527" s="155"/>
      <c r="F527" s="155"/>
      <c r="G527" s="13"/>
      <c r="H527" s="13"/>
      <c r="I527" s="18" t="s">
        <v>92</v>
      </c>
      <c r="J527" s="13"/>
      <c r="K527" s="150">
        <f>IF($E$44="","",VLOOKUP($E$44,Base!$A$3:$GI$3,191,FALSE))</f>
        <v>0</v>
      </c>
      <c r="L527" s="150">
        <f>IF($E$44="","",VLOOKUP($E$44,Base!$A$3:$GI$3,191,FALSE))</f>
        <v>0</v>
      </c>
      <c r="M527" s="150">
        <f t="shared" si="6"/>
        <v>0</v>
      </c>
      <c r="N527" s="150">
        <f>IF($E$44="","",VLOOKUP($E$44,Base!$A$3:$GI$3,191,FALSE))</f>
        <v>0</v>
      </c>
      <c r="O527" s="13"/>
      <c r="P527" s="14"/>
    </row>
    <row r="528" spans="2:16" x14ac:dyDescent="0.25">
      <c r="B528" s="12"/>
      <c r="C528" s="155"/>
      <c r="D528" s="155"/>
      <c r="E528" s="155"/>
      <c r="F528" s="155"/>
      <c r="G528" s="13"/>
      <c r="H528" s="13"/>
      <c r="I528" s="18" t="s">
        <v>184</v>
      </c>
      <c r="J528" s="13"/>
      <c r="K528" s="150">
        <f>IF($E$44="","",VLOOKUP($E$44,Base!$A$3:$GI$3,191,FALSE))</f>
        <v>0</v>
      </c>
      <c r="L528" s="150">
        <f>IF($E$44="","",VLOOKUP($E$44,Base!$A$3:$GI$3,191,FALSE))</f>
        <v>0</v>
      </c>
      <c r="M528" s="150">
        <f t="shared" si="6"/>
        <v>0</v>
      </c>
      <c r="N528" s="150">
        <f>IF($E$44="","",VLOOKUP($E$44,Base!$A$3:$GI$3,191,FALSE))</f>
        <v>0</v>
      </c>
      <c r="O528" s="13"/>
      <c r="P528" s="14"/>
    </row>
    <row r="529" spans="2:16" x14ac:dyDescent="0.25">
      <c r="B529" s="12"/>
      <c r="C529" s="13"/>
      <c r="D529" s="13"/>
      <c r="E529" s="13"/>
      <c r="F529" s="13"/>
      <c r="G529" s="13"/>
      <c r="H529" s="13"/>
      <c r="I529" s="18" t="s">
        <v>185</v>
      </c>
      <c r="J529" s="13"/>
      <c r="K529" s="150">
        <f>IF($E$44="","",VLOOKUP($E$44,Base!$A$3:$GI$3,191,FALSE))</f>
        <v>0</v>
      </c>
      <c r="L529" s="150">
        <f>IF($E$44="","",VLOOKUP($E$44,Base!$A$3:$GI$3,191,FALSE))</f>
        <v>0</v>
      </c>
      <c r="M529" s="150">
        <f t="shared" si="6"/>
        <v>0</v>
      </c>
      <c r="N529" s="150">
        <f>IF($E$44="","",VLOOKUP($E$44,Base!$A$3:$GI$3,191,FALSE))</f>
        <v>0</v>
      </c>
      <c r="O529" s="13"/>
      <c r="P529" s="14"/>
    </row>
    <row r="530" spans="2:16" x14ac:dyDescent="0.25">
      <c r="B530" s="12"/>
      <c r="C530" s="13"/>
      <c r="D530" s="13"/>
      <c r="E530" s="13"/>
      <c r="F530" s="13"/>
      <c r="G530" s="13"/>
      <c r="H530" s="13"/>
      <c r="I530" s="18" t="s">
        <v>186</v>
      </c>
      <c r="J530" s="13"/>
      <c r="K530" s="150">
        <f>IF($E$44="","",VLOOKUP($E$44,Base!$A$3:$GI$3,191,FALSE))</f>
        <v>0</v>
      </c>
      <c r="L530" s="150">
        <f>IF($E$44="","",VLOOKUP($E$44,Base!$A$3:$GI$3,191,FALSE))</f>
        <v>0</v>
      </c>
      <c r="M530" s="150">
        <f t="shared" si="6"/>
        <v>0</v>
      </c>
      <c r="N530" s="150">
        <f>IF($E$44="","",VLOOKUP($E$44,Base!$A$3:$GI$3,191,FALSE))</f>
        <v>0</v>
      </c>
      <c r="O530" s="13"/>
      <c r="P530" s="14"/>
    </row>
    <row r="531" spans="2:16" x14ac:dyDescent="0.25">
      <c r="B531" s="12"/>
      <c r="C531" s="13"/>
      <c r="D531" s="13"/>
      <c r="E531" s="13"/>
      <c r="F531" s="13"/>
      <c r="G531" s="13"/>
      <c r="H531" s="13"/>
      <c r="I531" s="18" t="s">
        <v>226</v>
      </c>
      <c r="J531" s="13"/>
      <c r="K531" s="150">
        <f>IF($E$44="","",VLOOKUP($E$44,Base!$A$3:$GI$3,191,FALSE))</f>
        <v>0</v>
      </c>
      <c r="L531" s="150">
        <f>IF($E$44="","",VLOOKUP($E$44,Base!$A$3:$GI$3,191,FALSE))</f>
        <v>0</v>
      </c>
      <c r="M531" s="150">
        <f t="shared" si="6"/>
        <v>0</v>
      </c>
      <c r="N531" s="150">
        <f>IF($E$44="","",VLOOKUP($E$44,Base!$A$3:$GI$3,191,FALSE))</f>
        <v>0</v>
      </c>
      <c r="O531" s="13"/>
      <c r="P531" s="14"/>
    </row>
    <row r="532" spans="2:16" x14ac:dyDescent="0.25">
      <c r="B532" s="12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4"/>
    </row>
    <row r="533" spans="2:16" x14ac:dyDescent="0.25">
      <c r="B533" s="12"/>
      <c r="C533" s="13"/>
      <c r="D533" s="13"/>
      <c r="E533" s="13"/>
      <c r="F533" s="13"/>
      <c r="G533" s="13"/>
      <c r="H533" s="13"/>
      <c r="I533" s="17" t="s">
        <v>18</v>
      </c>
      <c r="J533" s="13"/>
      <c r="K533" s="150">
        <f>SUM(K526:K532)</f>
        <v>12</v>
      </c>
      <c r="L533" s="150">
        <f>SUM(L526:L532)</f>
        <v>22</v>
      </c>
      <c r="M533" s="150">
        <f>SUM(M526:M532)</f>
        <v>34</v>
      </c>
      <c r="N533" s="150">
        <f>SUM(N526:N532)</f>
        <v>0</v>
      </c>
      <c r="O533" s="13"/>
      <c r="P533" s="14"/>
    </row>
    <row r="534" spans="2:16" ht="15.75" x14ac:dyDescent="0.25">
      <c r="B534" s="109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4"/>
    </row>
    <row r="535" spans="2:16" ht="15.75" x14ac:dyDescent="0.25">
      <c r="B535" s="109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4"/>
    </row>
    <row r="536" spans="2:16" ht="16.5" thickBot="1" x14ac:dyDescent="0.3">
      <c r="B536" s="104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8"/>
    </row>
    <row r="537" spans="2:16" ht="15.75" x14ac:dyDescent="0.25">
      <c r="B537" s="3"/>
    </row>
    <row r="538" spans="2:16" ht="16.5" thickBot="1" x14ac:dyDescent="0.3">
      <c r="B538" s="3"/>
    </row>
    <row r="539" spans="2:16" ht="15.75" x14ac:dyDescent="0.25">
      <c r="B539" s="9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10"/>
      <c r="O539" s="30">
        <v>911.1</v>
      </c>
      <c r="P539" s="11"/>
    </row>
    <row r="540" spans="2:16" ht="15.75" x14ac:dyDescent="0.25">
      <c r="B540" s="12"/>
      <c r="C540" s="15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4"/>
    </row>
    <row r="541" spans="2:16" x14ac:dyDescent="0.25">
      <c r="B541" s="12"/>
      <c r="C541" s="17" t="s">
        <v>143</v>
      </c>
      <c r="D541" s="13"/>
      <c r="E541" s="13"/>
      <c r="F541" s="13"/>
      <c r="G541" s="13"/>
      <c r="H541" s="13"/>
      <c r="I541" s="13"/>
      <c r="J541" s="13"/>
      <c r="K541" s="47"/>
      <c r="L541" s="48"/>
      <c r="M541" s="48"/>
      <c r="N541" s="49"/>
      <c r="O541" s="13"/>
      <c r="P541" s="14"/>
    </row>
    <row r="542" spans="2:16" x14ac:dyDescent="0.25">
      <c r="B542" s="12"/>
      <c r="C542" s="13"/>
      <c r="D542" s="13"/>
      <c r="E542" s="13"/>
      <c r="F542" s="13"/>
      <c r="G542" s="13"/>
      <c r="H542" s="13"/>
      <c r="I542" s="13"/>
      <c r="J542" s="13"/>
      <c r="K542" s="50"/>
      <c r="L542" s="13"/>
      <c r="M542" s="13"/>
      <c r="N542" s="51"/>
      <c r="O542" s="13"/>
      <c r="P542" s="14"/>
    </row>
    <row r="543" spans="2:16" ht="15.75" x14ac:dyDescent="0.25">
      <c r="B543" s="12"/>
      <c r="C543" s="111" t="s">
        <v>228</v>
      </c>
      <c r="D543" s="48"/>
      <c r="E543" s="48"/>
      <c r="F543" s="48"/>
      <c r="G543" s="48"/>
      <c r="H543" s="48"/>
      <c r="I543" s="49"/>
      <c r="J543" s="13"/>
      <c r="K543" s="50"/>
      <c r="L543" s="13"/>
      <c r="M543" s="13"/>
      <c r="N543" s="51"/>
      <c r="O543" s="13"/>
      <c r="P543" s="14"/>
    </row>
    <row r="544" spans="2:16" x14ac:dyDescent="0.25">
      <c r="B544" s="12"/>
      <c r="C544" s="213"/>
      <c r="D544" s="214"/>
      <c r="E544" s="214"/>
      <c r="F544" s="214"/>
      <c r="G544" s="214"/>
      <c r="H544" s="214"/>
      <c r="I544" s="215"/>
      <c r="J544" s="13"/>
      <c r="K544" s="50"/>
      <c r="L544" s="13"/>
      <c r="M544" s="13"/>
      <c r="N544" s="51"/>
      <c r="O544" s="13"/>
      <c r="P544" s="14"/>
    </row>
    <row r="545" spans="2:16" x14ac:dyDescent="0.25">
      <c r="B545" s="12"/>
      <c r="C545" s="213"/>
      <c r="D545" s="214"/>
      <c r="E545" s="214"/>
      <c r="F545" s="214"/>
      <c r="G545" s="214"/>
      <c r="H545" s="214"/>
      <c r="I545" s="215"/>
      <c r="J545" s="13"/>
      <c r="K545" s="50"/>
      <c r="L545" s="13"/>
      <c r="M545" s="13"/>
      <c r="N545" s="51"/>
      <c r="O545" s="13"/>
      <c r="P545" s="14"/>
    </row>
    <row r="546" spans="2:16" x14ac:dyDescent="0.25">
      <c r="B546" s="12"/>
      <c r="C546" s="213"/>
      <c r="D546" s="214"/>
      <c r="E546" s="214"/>
      <c r="F546" s="214"/>
      <c r="G546" s="214"/>
      <c r="H546" s="214"/>
      <c r="I546" s="215"/>
      <c r="J546" s="13"/>
      <c r="K546" s="50"/>
      <c r="L546" s="13"/>
      <c r="M546" s="13"/>
      <c r="N546" s="51"/>
      <c r="O546" s="13"/>
      <c r="P546" s="14"/>
    </row>
    <row r="547" spans="2:16" x14ac:dyDescent="0.25">
      <c r="B547" s="12"/>
      <c r="C547" s="213"/>
      <c r="D547" s="214"/>
      <c r="E547" s="214"/>
      <c r="F547" s="214"/>
      <c r="G547" s="214"/>
      <c r="H547" s="214"/>
      <c r="I547" s="215"/>
      <c r="J547" s="13"/>
      <c r="K547" s="50"/>
      <c r="L547" s="13"/>
      <c r="M547" s="13"/>
      <c r="N547" s="51"/>
      <c r="O547" s="13"/>
      <c r="P547" s="14"/>
    </row>
    <row r="548" spans="2:16" x14ac:dyDescent="0.25">
      <c r="B548" s="12"/>
      <c r="C548" s="213"/>
      <c r="D548" s="214"/>
      <c r="E548" s="214"/>
      <c r="F548" s="214"/>
      <c r="G548" s="214"/>
      <c r="H548" s="214"/>
      <c r="I548" s="215"/>
      <c r="J548" s="13"/>
      <c r="K548" s="50"/>
      <c r="L548" s="13"/>
      <c r="M548" s="13"/>
      <c r="N548" s="51"/>
      <c r="O548" s="13"/>
      <c r="P548" s="14"/>
    </row>
    <row r="549" spans="2:16" x14ac:dyDescent="0.25">
      <c r="B549" s="12"/>
      <c r="C549" s="213"/>
      <c r="D549" s="214"/>
      <c r="E549" s="214"/>
      <c r="F549" s="214"/>
      <c r="G549" s="214"/>
      <c r="H549" s="214"/>
      <c r="I549" s="215"/>
      <c r="J549" s="13"/>
      <c r="K549" s="50"/>
      <c r="L549" s="13"/>
      <c r="M549" s="13"/>
      <c r="N549" s="51"/>
      <c r="O549" s="13"/>
      <c r="P549" s="14"/>
    </row>
    <row r="550" spans="2:16" x14ac:dyDescent="0.25">
      <c r="B550" s="12"/>
      <c r="C550" s="213"/>
      <c r="D550" s="214"/>
      <c r="E550" s="214"/>
      <c r="F550" s="214"/>
      <c r="G550" s="214"/>
      <c r="H550" s="214"/>
      <c r="I550" s="215"/>
      <c r="J550" s="13"/>
      <c r="K550" s="50"/>
      <c r="L550" s="13"/>
      <c r="M550" s="13"/>
      <c r="N550" s="51"/>
      <c r="O550" s="13"/>
      <c r="P550" s="14"/>
    </row>
    <row r="551" spans="2:16" x14ac:dyDescent="0.25">
      <c r="B551" s="12"/>
      <c r="C551" s="216"/>
      <c r="D551" s="217"/>
      <c r="E551" s="217"/>
      <c r="F551" s="217"/>
      <c r="G551" s="217"/>
      <c r="H551" s="217"/>
      <c r="I551" s="218"/>
      <c r="J551" s="13"/>
      <c r="K551" s="50"/>
      <c r="L551" s="13"/>
      <c r="M551" s="13"/>
      <c r="N551" s="51"/>
      <c r="O551" s="13"/>
      <c r="P551" s="14"/>
    </row>
    <row r="552" spans="2:16" x14ac:dyDescent="0.25">
      <c r="B552" s="12"/>
      <c r="C552" s="16"/>
      <c r="D552" s="13"/>
      <c r="E552" s="13"/>
      <c r="F552" s="13"/>
      <c r="G552" s="13"/>
      <c r="H552" s="13"/>
      <c r="I552" s="13"/>
      <c r="J552" s="13"/>
      <c r="K552" s="50"/>
      <c r="L552" s="13"/>
      <c r="M552" s="13"/>
      <c r="N552" s="51"/>
      <c r="O552" s="13"/>
      <c r="P552" s="14"/>
    </row>
    <row r="553" spans="2:16" x14ac:dyDescent="0.25">
      <c r="B553" s="12"/>
      <c r="C553" s="16"/>
      <c r="D553" s="13"/>
      <c r="E553" s="13"/>
      <c r="F553" s="13"/>
      <c r="G553" s="13"/>
      <c r="H553" s="13"/>
      <c r="I553" s="13"/>
      <c r="J553" s="13"/>
      <c r="K553" s="50"/>
      <c r="L553" s="13"/>
      <c r="M553" s="13"/>
      <c r="N553" s="51"/>
      <c r="O553" s="13"/>
      <c r="P553" s="14"/>
    </row>
    <row r="554" spans="2:16" ht="18.75" x14ac:dyDescent="0.25">
      <c r="B554" s="12"/>
      <c r="C554" s="16"/>
      <c r="D554" s="13"/>
      <c r="E554" s="13"/>
      <c r="F554" s="13"/>
      <c r="G554" s="13"/>
      <c r="H554" s="13"/>
      <c r="I554" s="13"/>
      <c r="J554" s="13"/>
      <c r="K554" s="219" t="s">
        <v>144</v>
      </c>
      <c r="L554" s="220"/>
      <c r="M554" s="220"/>
      <c r="N554" s="221"/>
      <c r="O554" s="13"/>
      <c r="P554" s="14"/>
    </row>
    <row r="555" spans="2:16" x14ac:dyDescent="0.25">
      <c r="B555" s="12"/>
      <c r="C555" s="16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4"/>
    </row>
    <row r="556" spans="2:16" x14ac:dyDescent="0.25">
      <c r="B556" s="12"/>
      <c r="C556" s="16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4"/>
    </row>
    <row r="557" spans="2:16" x14ac:dyDescent="0.25">
      <c r="B557" s="12"/>
      <c r="C557" s="16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4"/>
    </row>
    <row r="558" spans="2:16" ht="15.75" x14ac:dyDescent="0.25">
      <c r="B558" s="12"/>
      <c r="C558" s="236" t="s">
        <v>374</v>
      </c>
      <c r="D558" s="236"/>
      <c r="E558" s="236"/>
      <c r="F558" s="236"/>
      <c r="G558" s="13"/>
      <c r="H558" s="13"/>
      <c r="I558" s="13"/>
      <c r="J558" s="13"/>
      <c r="K558" s="222" t="s">
        <v>59</v>
      </c>
      <c r="L558" s="222"/>
      <c r="M558" s="112" t="s">
        <v>60</v>
      </c>
      <c r="N558" s="112" t="s">
        <v>61</v>
      </c>
      <c r="O558" s="13"/>
      <c r="P558" s="14"/>
    </row>
    <row r="559" spans="2:16" ht="15.75" x14ac:dyDescent="0.25">
      <c r="B559" s="12"/>
      <c r="C559" s="223" t="s">
        <v>373</v>
      </c>
      <c r="D559" s="223"/>
      <c r="E559" s="223"/>
      <c r="F559" s="223"/>
      <c r="G559" s="13"/>
      <c r="H559" s="13"/>
      <c r="I559" s="37" t="s">
        <v>58</v>
      </c>
      <c r="J559" s="13"/>
      <c r="K559" s="235">
        <v>2012</v>
      </c>
      <c r="L559" s="235"/>
      <c r="M559" s="133">
        <v>10</v>
      </c>
      <c r="N559" s="133">
        <v>10</v>
      </c>
      <c r="O559" s="13"/>
      <c r="P559" s="14"/>
    </row>
    <row r="560" spans="2:16" x14ac:dyDescent="0.25">
      <c r="B560" s="12"/>
      <c r="C560" s="16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4"/>
    </row>
    <row r="561" spans="2:16" x14ac:dyDescent="0.25">
      <c r="B561" s="12"/>
      <c r="C561" s="16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4"/>
    </row>
    <row r="562" spans="2:16" x14ac:dyDescent="0.25">
      <c r="B562" s="12"/>
      <c r="C562" s="16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4"/>
    </row>
    <row r="563" spans="2:16" ht="17.25" x14ac:dyDescent="0.25">
      <c r="B563" s="12"/>
      <c r="C563" s="1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4"/>
    </row>
    <row r="564" spans="2:16" x14ac:dyDescent="0.25">
      <c r="B564" s="12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4"/>
    </row>
    <row r="565" spans="2:16" x14ac:dyDescent="0.25">
      <c r="B565" s="12"/>
      <c r="C565" s="88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4"/>
    </row>
    <row r="566" spans="2:16" x14ac:dyDescent="0.25">
      <c r="B566" s="12"/>
      <c r="C566" s="16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4"/>
    </row>
    <row r="567" spans="2:16" ht="15.75" x14ac:dyDescent="0.25">
      <c r="B567" s="12"/>
      <c r="C567" s="236" t="s">
        <v>375</v>
      </c>
      <c r="D567" s="236"/>
      <c r="E567" s="236"/>
      <c r="F567" s="236"/>
      <c r="G567" s="13"/>
      <c r="H567" s="13"/>
      <c r="I567" s="13"/>
      <c r="J567" s="13"/>
      <c r="K567" s="13"/>
      <c r="L567" s="13"/>
      <c r="M567" s="13"/>
      <c r="N567" s="13"/>
      <c r="O567" s="13"/>
      <c r="P567" s="14"/>
    </row>
    <row r="568" spans="2:16" ht="15.75" x14ac:dyDescent="0.25">
      <c r="B568" s="12"/>
      <c r="C568" s="223" t="s">
        <v>57</v>
      </c>
      <c r="D568" s="223"/>
      <c r="E568" s="223"/>
      <c r="F568" s="223"/>
      <c r="G568" s="13"/>
      <c r="H568" s="13"/>
      <c r="I568" s="13"/>
      <c r="J568" s="13"/>
      <c r="K568" s="13"/>
      <c r="L568" s="13"/>
      <c r="M568" s="13"/>
      <c r="N568" s="13"/>
      <c r="O568" s="13"/>
      <c r="P568" s="14"/>
    </row>
    <row r="569" spans="2:16" x14ac:dyDescent="0.25">
      <c r="B569" s="12"/>
      <c r="C569" s="16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4"/>
    </row>
    <row r="570" spans="2:16" x14ac:dyDescent="0.25">
      <c r="B570" s="12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4"/>
    </row>
    <row r="571" spans="2:16" x14ac:dyDescent="0.25">
      <c r="B571" s="12"/>
      <c r="C571" s="16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4"/>
    </row>
    <row r="572" spans="2:16" x14ac:dyDescent="0.25">
      <c r="B572" s="12"/>
      <c r="C572" s="16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4"/>
    </row>
    <row r="573" spans="2:16" ht="15.75" thickBot="1" x14ac:dyDescent="0.3">
      <c r="B573" s="25"/>
      <c r="C573" s="114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8"/>
    </row>
  </sheetData>
  <mergeCells count="193">
    <mergeCell ref="C558:F558"/>
    <mergeCell ref="C567:F567"/>
    <mergeCell ref="C525:F528"/>
    <mergeCell ref="C17:O17"/>
    <mergeCell ref="C19:O19"/>
    <mergeCell ref="C544:I551"/>
    <mergeCell ref="K554:N554"/>
    <mergeCell ref="K558:L558"/>
    <mergeCell ref="C559:F559"/>
    <mergeCell ref="K559:L559"/>
    <mergeCell ref="C568:F568"/>
    <mergeCell ref="K433:K434"/>
    <mergeCell ref="L433:L434"/>
    <mergeCell ref="M433:M434"/>
    <mergeCell ref="K506:K507"/>
    <mergeCell ref="L506:L507"/>
    <mergeCell ref="M506:M507"/>
    <mergeCell ref="L162:M162"/>
    <mergeCell ref="C205:O206"/>
    <mergeCell ref="C207:O208"/>
    <mergeCell ref="F179:L179"/>
    <mergeCell ref="F180:L180"/>
    <mergeCell ref="F182:L182"/>
    <mergeCell ref="E188:H188"/>
    <mergeCell ref="H125:K128"/>
    <mergeCell ref="C118:F119"/>
    <mergeCell ref="F38:L38"/>
    <mergeCell ref="F39:L39"/>
    <mergeCell ref="F41:L41"/>
    <mergeCell ref="C120:F122"/>
    <mergeCell ref="C155:F156"/>
    <mergeCell ref="L155:M155"/>
    <mergeCell ref="K131:M131"/>
    <mergeCell ref="C131:F134"/>
    <mergeCell ref="C146:F147"/>
    <mergeCell ref="L152:M152"/>
    <mergeCell ref="L146:M146"/>
    <mergeCell ref="J77:L78"/>
    <mergeCell ref="C215:F217"/>
    <mergeCell ref="H216:J218"/>
    <mergeCell ref="L216:M216"/>
    <mergeCell ref="K44:L44"/>
    <mergeCell ref="I47:J47"/>
    <mergeCell ref="C64:O64"/>
    <mergeCell ref="C65:O65"/>
    <mergeCell ref="D71:N71"/>
    <mergeCell ref="C73:H74"/>
    <mergeCell ref="C76:F80"/>
    <mergeCell ref="N96:N97"/>
    <mergeCell ref="C109:F111"/>
    <mergeCell ref="C113:F116"/>
    <mergeCell ref="J87:L88"/>
    <mergeCell ref="C96:F99"/>
    <mergeCell ref="C101:F102"/>
    <mergeCell ref="O111:O112"/>
    <mergeCell ref="H121:K124"/>
    <mergeCell ref="L147:M147"/>
    <mergeCell ref="L148:M148"/>
    <mergeCell ref="L149:M149"/>
    <mergeCell ref="L150:M150"/>
    <mergeCell ref="L156:M156"/>
    <mergeCell ref="L157:M157"/>
    <mergeCell ref="J220:O220"/>
    <mergeCell ref="C232:F236"/>
    <mergeCell ref="L232:M233"/>
    <mergeCell ref="N232:O233"/>
    <mergeCell ref="L234:M234"/>
    <mergeCell ref="N234:O234"/>
    <mergeCell ref="L235:M235"/>
    <mergeCell ref="N235:O235"/>
    <mergeCell ref="L236:M236"/>
    <mergeCell ref="N236:O236"/>
    <mergeCell ref="J225:K225"/>
    <mergeCell ref="L225:M225"/>
    <mergeCell ref="N225:O225"/>
    <mergeCell ref="J226:K226"/>
    <mergeCell ref="L226:M226"/>
    <mergeCell ref="N226:O226"/>
    <mergeCell ref="J222:K223"/>
    <mergeCell ref="L222:M223"/>
    <mergeCell ref="N222:O223"/>
    <mergeCell ref="N224:O224"/>
    <mergeCell ref="L224:M224"/>
    <mergeCell ref="J224:K224"/>
    <mergeCell ref="C223:F227"/>
    <mergeCell ref="C220:F221"/>
    <mergeCell ref="L238:M238"/>
    <mergeCell ref="N238:O238"/>
    <mergeCell ref="L237:M237"/>
    <mergeCell ref="N237:O237"/>
    <mergeCell ref="L239:M239"/>
    <mergeCell ref="N239:O239"/>
    <mergeCell ref="J228:K228"/>
    <mergeCell ref="L228:M228"/>
    <mergeCell ref="N228:O228"/>
    <mergeCell ref="C250:F251"/>
    <mergeCell ref="C253:F258"/>
    <mergeCell ref="C260:F261"/>
    <mergeCell ref="L240:M240"/>
    <mergeCell ref="N240:O240"/>
    <mergeCell ref="L241:M241"/>
    <mergeCell ref="N241:O241"/>
    <mergeCell ref="L243:M243"/>
    <mergeCell ref="N243:O243"/>
    <mergeCell ref="O253:O254"/>
    <mergeCell ref="H262:K263"/>
    <mergeCell ref="C266:F268"/>
    <mergeCell ref="H266:H267"/>
    <mergeCell ref="I266:I267"/>
    <mergeCell ref="J266:J267"/>
    <mergeCell ref="K266:K267"/>
    <mergeCell ref="L266:L267"/>
    <mergeCell ref="M266:M267"/>
    <mergeCell ref="N266:N267"/>
    <mergeCell ref="O266:O267"/>
    <mergeCell ref="C290:F293"/>
    <mergeCell ref="I265:K265"/>
    <mergeCell ref="L265:O265"/>
    <mergeCell ref="I290:K290"/>
    <mergeCell ref="L290:O290"/>
    <mergeCell ref="I291:I292"/>
    <mergeCell ref="J291:J292"/>
    <mergeCell ref="K291:K292"/>
    <mergeCell ref="L291:L292"/>
    <mergeCell ref="M291:M292"/>
    <mergeCell ref="N291:N292"/>
    <mergeCell ref="O291:O292"/>
    <mergeCell ref="H291:H292"/>
    <mergeCell ref="C348:O349"/>
    <mergeCell ref="C350:O351"/>
    <mergeCell ref="C361:F363"/>
    <mergeCell ref="C377:F380"/>
    <mergeCell ref="L376:L377"/>
    <mergeCell ref="I376:I377"/>
    <mergeCell ref="M376:O377"/>
    <mergeCell ref="F324:L324"/>
    <mergeCell ref="F325:L325"/>
    <mergeCell ref="F327:L327"/>
    <mergeCell ref="E333:H333"/>
    <mergeCell ref="N433:N434"/>
    <mergeCell ref="J398:N398"/>
    <mergeCell ref="K432:N432"/>
    <mergeCell ref="J419:K419"/>
    <mergeCell ref="J423:K423"/>
    <mergeCell ref="C429:F430"/>
    <mergeCell ref="C433:F436"/>
    <mergeCell ref="J414:K414"/>
    <mergeCell ref="J415:K415"/>
    <mergeCell ref="J416:K416"/>
    <mergeCell ref="J417:K417"/>
    <mergeCell ref="J418:K418"/>
    <mergeCell ref="C398:F401"/>
    <mergeCell ref="N399:N400"/>
    <mergeCell ref="C412:F413"/>
    <mergeCell ref="J412:K413"/>
    <mergeCell ref="H412:H413"/>
    <mergeCell ref="M454:N454"/>
    <mergeCell ref="M456:N456"/>
    <mergeCell ref="K458:N458"/>
    <mergeCell ref="I459:J460"/>
    <mergeCell ref="K459:K460"/>
    <mergeCell ref="M459:N460"/>
    <mergeCell ref="C442:F445"/>
    <mergeCell ref="C450:F452"/>
    <mergeCell ref="K449:N449"/>
    <mergeCell ref="M450:N451"/>
    <mergeCell ref="I450:J451"/>
    <mergeCell ref="K450:K451"/>
    <mergeCell ref="M452:N452"/>
    <mergeCell ref="L158:M158"/>
    <mergeCell ref="L159:M159"/>
    <mergeCell ref="L160:M160"/>
    <mergeCell ref="C517:F519"/>
    <mergeCell ref="C521:F522"/>
    <mergeCell ref="C505:F507"/>
    <mergeCell ref="N506:N507"/>
    <mergeCell ref="K505:N505"/>
    <mergeCell ref="C510:F513"/>
    <mergeCell ref="C473:F474"/>
    <mergeCell ref="I475:O475"/>
    <mergeCell ref="I476:I477"/>
    <mergeCell ref="J476:J477"/>
    <mergeCell ref="K476:K477"/>
    <mergeCell ref="L476:L477"/>
    <mergeCell ref="M476:M477"/>
    <mergeCell ref="N476:N477"/>
    <mergeCell ref="O476:O477"/>
    <mergeCell ref="M461:N461"/>
    <mergeCell ref="M462:N462"/>
    <mergeCell ref="M463:N463"/>
    <mergeCell ref="M465:N465"/>
    <mergeCell ref="C458:F461"/>
    <mergeCell ref="M453:N453"/>
  </mergeCells>
  <pageMargins left="0.2" right="0.35433070866141736" top="0.43307086614173229" bottom="0.47244094488188981" header="0.31496062992125984" footer="0.31496062992125984"/>
  <pageSetup paperSize="9" scale="90" orientation="landscape" r:id="rId1"/>
  <rowBreaks count="15" manualBreakCount="15">
    <brk id="35" max="16383" man="1"/>
    <brk id="68" max="16383" man="1"/>
    <brk id="106" max="16383" man="1"/>
    <brk id="141" max="16383" man="1"/>
    <brk id="176" max="16383" man="1"/>
    <brk id="210" max="16383" man="1"/>
    <brk id="247" max="16383" man="1"/>
    <brk id="285" max="16383" man="1"/>
    <brk id="320" max="16383" man="1"/>
    <brk id="354" max="16383" man="1"/>
    <brk id="390" max="16383" man="1"/>
    <brk id="427" max="16383" man="1"/>
    <brk id="467" max="16383" man="1"/>
    <brk id="500" max="16383" man="1"/>
    <brk id="53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Base!$A$3:$A$40</xm:f>
          </x14:formula1>
          <xm:sqref>E44</xm:sqref>
        </x14:dataValidation>
        <x14:dataValidation type="list" allowBlank="1" showInputMessage="1" showErrorMessage="1">
          <x14:formula1>
            <xm:f>Base!#REF!</xm:f>
          </x14:formula1>
          <xm:sqref>K44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37"/>
  <sheetViews>
    <sheetView zoomScaleNormal="100" workbookViewId="0">
      <selection activeCell="D4" sqref="D4"/>
    </sheetView>
  </sheetViews>
  <sheetFormatPr baseColWidth="10" defaultRowHeight="15" x14ac:dyDescent="0.25"/>
  <cols>
    <col min="2" max="2" width="14.85546875" customWidth="1"/>
    <col min="9" max="9" width="12" bestFit="1" customWidth="1"/>
    <col min="10" max="10" width="6.28515625" bestFit="1" customWidth="1"/>
    <col min="12" max="12" width="12" bestFit="1" customWidth="1"/>
    <col min="13" max="13" width="9.28515625" bestFit="1" customWidth="1"/>
    <col min="14" max="14" width="9.5703125" bestFit="1" customWidth="1"/>
    <col min="15" max="15" width="8.5703125" bestFit="1" customWidth="1"/>
    <col min="16" max="16" width="9.5703125" bestFit="1" customWidth="1"/>
    <col min="17" max="17" width="8.5703125" bestFit="1" customWidth="1"/>
    <col min="18" max="18" width="11.42578125" bestFit="1" customWidth="1"/>
    <col min="19" max="20" width="11.42578125" customWidth="1"/>
    <col min="21" max="21" width="15.42578125" customWidth="1"/>
    <col min="23" max="23" width="16.42578125" customWidth="1"/>
    <col min="24" max="24" width="13.42578125" bestFit="1" customWidth="1"/>
    <col min="25" max="25" width="14.42578125" customWidth="1"/>
    <col min="26" max="28" width="5" customWidth="1"/>
    <col min="29" max="31" width="6.28515625" customWidth="1"/>
    <col min="32" max="34" width="4.5703125" customWidth="1"/>
    <col min="35" max="37" width="4.28515625" customWidth="1"/>
    <col min="38" max="40" width="4" customWidth="1"/>
    <col min="41" max="43" width="5.42578125" customWidth="1"/>
    <col min="44" max="46" width="4.42578125" customWidth="1"/>
    <col min="47" max="49" width="5.5703125" customWidth="1"/>
    <col min="50" max="52" width="4.28515625" customWidth="1"/>
    <col min="53" max="55" width="4.42578125" customWidth="1"/>
    <col min="56" max="56" width="9.28515625" bestFit="1" customWidth="1"/>
    <col min="57" max="58" width="14.42578125" customWidth="1"/>
    <col min="59" max="59" width="16.5703125" customWidth="1"/>
    <col min="60" max="60" width="17.5703125" customWidth="1"/>
    <col min="61" max="61" width="15" customWidth="1"/>
    <col min="62" max="62" width="14.42578125" customWidth="1"/>
    <col min="63" max="63" width="12.140625" bestFit="1" customWidth="1"/>
    <col min="64" max="64" width="11.85546875" bestFit="1" customWidth="1"/>
    <col min="65" max="65" width="6.7109375" bestFit="1" customWidth="1"/>
    <col min="66" max="66" width="4.7109375" customWidth="1"/>
    <col min="67" max="67" width="9.42578125" bestFit="1" customWidth="1"/>
    <col min="68" max="68" width="10" customWidth="1"/>
    <col min="69" max="69" width="7.5703125" bestFit="1" customWidth="1"/>
    <col min="70" max="70" width="11.42578125" bestFit="1" customWidth="1"/>
    <col min="71" max="71" width="4.7109375" bestFit="1" customWidth="1"/>
    <col min="72" max="72" width="10" customWidth="1"/>
    <col min="73" max="73" width="9.42578125" bestFit="1" customWidth="1"/>
    <col min="74" max="74" width="9.7109375" bestFit="1" customWidth="1"/>
    <col min="75" max="75" width="6.42578125" bestFit="1" customWidth="1"/>
    <col min="76" max="76" width="13.5703125" bestFit="1" customWidth="1"/>
    <col min="77" max="77" width="8.42578125" bestFit="1" customWidth="1"/>
    <col min="78" max="78" width="6.42578125" bestFit="1" customWidth="1"/>
    <col min="79" max="79" width="7.140625" bestFit="1" customWidth="1"/>
    <col min="80" max="80" width="6.5703125" bestFit="1" customWidth="1"/>
    <col min="81" max="81" width="2.85546875" bestFit="1" customWidth="1"/>
    <col min="82" max="82" width="8.140625" customWidth="1"/>
    <col min="83" max="83" width="7.140625" bestFit="1" customWidth="1"/>
    <col min="84" max="84" width="6.5703125" bestFit="1" customWidth="1"/>
    <col min="85" max="85" width="2.85546875" bestFit="1" customWidth="1"/>
    <col min="86" max="86" width="6.42578125" bestFit="1" customWidth="1"/>
    <col min="87" max="87" width="7.140625" bestFit="1" customWidth="1"/>
    <col min="88" max="88" width="6.5703125" bestFit="1" customWidth="1"/>
    <col min="89" max="89" width="2.85546875" bestFit="1" customWidth="1"/>
    <col min="90" max="90" width="6.42578125" bestFit="1" customWidth="1"/>
    <col min="91" max="91" width="7.140625" bestFit="1" customWidth="1"/>
    <col min="92" max="92" width="6.5703125" bestFit="1" customWidth="1"/>
    <col min="93" max="93" width="2.85546875" bestFit="1" customWidth="1"/>
    <col min="94" max="94" width="6.42578125" bestFit="1" customWidth="1"/>
    <col min="95" max="95" width="7.140625" bestFit="1" customWidth="1"/>
    <col min="96" max="96" width="6.5703125" bestFit="1" customWidth="1"/>
    <col min="97" max="97" width="2.85546875" bestFit="1" customWidth="1"/>
    <col min="98" max="98" width="6.7109375" customWidth="1"/>
    <col min="99" max="99" width="4.7109375" bestFit="1" customWidth="1"/>
    <col min="100" max="100" width="7.85546875" bestFit="1" customWidth="1"/>
    <col min="101" max="101" width="6.85546875" bestFit="1" customWidth="1"/>
    <col min="102" max="102" width="6.5703125" bestFit="1" customWidth="1"/>
    <col min="103" max="103" width="4.7109375" bestFit="1" customWidth="1"/>
    <col min="104" max="104" width="8.7109375" bestFit="1" customWidth="1"/>
    <col min="105" max="105" width="7.140625" bestFit="1" customWidth="1"/>
    <col min="106" max="106" width="6.5703125" bestFit="1" customWidth="1"/>
    <col min="107" max="107" width="4.42578125" customWidth="1"/>
    <col min="108" max="108" width="7.140625" bestFit="1" customWidth="1"/>
    <col min="109" max="109" width="6.5703125" bestFit="1" customWidth="1"/>
    <col min="110" max="110" width="2.85546875" bestFit="1" customWidth="1"/>
    <col min="111" max="111" width="7.140625" bestFit="1" customWidth="1"/>
    <col min="112" max="112" width="6.5703125" bestFit="1" customWidth="1"/>
    <col min="113" max="113" width="2.85546875" bestFit="1" customWidth="1"/>
    <col min="114" max="114" width="7.140625" bestFit="1" customWidth="1"/>
    <col min="115" max="115" width="6.5703125" bestFit="1" customWidth="1"/>
    <col min="116" max="116" width="2.85546875" bestFit="1" customWidth="1"/>
    <col min="117" max="117" width="7.28515625" customWidth="1"/>
    <col min="118" max="118" width="6.5703125" bestFit="1" customWidth="1"/>
    <col min="119" max="119" width="4.5703125" customWidth="1"/>
    <col min="120" max="120" width="7.140625" bestFit="1" customWidth="1"/>
    <col min="121" max="121" width="6.5703125" bestFit="1" customWidth="1"/>
    <col min="122" max="122" width="2.85546875" bestFit="1" customWidth="1"/>
    <col min="123" max="123" width="7.140625" bestFit="1" customWidth="1"/>
    <col min="124" max="124" width="6.5703125" bestFit="1" customWidth="1"/>
    <col min="125" max="125" width="2.85546875" bestFit="1" customWidth="1"/>
    <col min="126" max="126" width="7.140625" bestFit="1" customWidth="1"/>
    <col min="127" max="127" width="6.5703125" bestFit="1" customWidth="1"/>
    <col min="128" max="128" width="2.85546875" bestFit="1" customWidth="1"/>
    <col min="129" max="129" width="7.28515625" bestFit="1" customWidth="1"/>
    <col min="130" max="130" width="5.5703125" bestFit="1" customWidth="1"/>
    <col min="131" max="131" width="7.42578125" bestFit="1" customWidth="1"/>
    <col min="132" max="132" width="7.28515625" bestFit="1" customWidth="1"/>
    <col min="133" max="133" width="5.5703125" bestFit="1" customWidth="1"/>
    <col min="134" max="134" width="7.42578125" bestFit="1" customWidth="1"/>
    <col min="135" max="135" width="7.28515625" bestFit="1" customWidth="1"/>
    <col min="136" max="136" width="5.5703125" bestFit="1" customWidth="1"/>
    <col min="137" max="137" width="7.42578125" bestFit="1" customWidth="1"/>
    <col min="138" max="138" width="7.28515625" bestFit="1" customWidth="1"/>
    <col min="139" max="139" width="5.5703125" bestFit="1" customWidth="1"/>
    <col min="140" max="140" width="7.42578125" bestFit="1" customWidth="1"/>
    <col min="141" max="141" width="9.85546875" customWidth="1"/>
    <col min="142" max="142" width="6.85546875" bestFit="1" customWidth="1"/>
    <col min="143" max="143" width="10.28515625" bestFit="1" customWidth="1"/>
    <col min="144" max="144" width="7.85546875" bestFit="1" customWidth="1"/>
    <col min="145" max="145" width="6.28515625" bestFit="1" customWidth="1"/>
    <col min="146" max="146" width="4" bestFit="1" customWidth="1"/>
    <col min="147" max="147" width="10" customWidth="1"/>
    <col min="148" max="148" width="6.85546875" bestFit="1" customWidth="1"/>
    <col min="149" max="149" width="10.28515625" bestFit="1" customWidth="1"/>
    <col min="150" max="150" width="7.85546875" bestFit="1" customWidth="1"/>
    <col min="151" max="151" width="6.28515625" bestFit="1" customWidth="1"/>
    <col min="152" max="152" width="4" bestFit="1" customWidth="1"/>
    <col min="153" max="153" width="10" customWidth="1"/>
    <col min="154" max="154" width="6.85546875" bestFit="1" customWidth="1"/>
    <col min="155" max="155" width="10.28515625" bestFit="1" customWidth="1"/>
    <col min="156" max="156" width="7.85546875" bestFit="1" customWidth="1"/>
    <col min="157" max="157" width="6.28515625" bestFit="1" customWidth="1"/>
    <col min="158" max="158" width="4" bestFit="1" customWidth="1"/>
    <col min="159" max="159" width="10" bestFit="1" customWidth="1"/>
    <col min="160" max="160" width="6.85546875" bestFit="1" customWidth="1"/>
    <col min="161" max="161" width="10.28515625" bestFit="1" customWidth="1"/>
    <col min="162" max="162" width="7.85546875" bestFit="1" customWidth="1"/>
    <col min="163" max="163" width="6.28515625" bestFit="1" customWidth="1"/>
    <col min="164" max="164" width="4" bestFit="1" customWidth="1"/>
    <col min="165" max="165" width="10" bestFit="1" customWidth="1"/>
    <col min="166" max="166" width="6.85546875" bestFit="1" customWidth="1"/>
    <col min="167" max="167" width="10.28515625" bestFit="1" customWidth="1"/>
    <col min="168" max="168" width="7.85546875" bestFit="1" customWidth="1"/>
    <col min="169" max="169" width="6.28515625" bestFit="1" customWidth="1"/>
    <col min="170" max="170" width="4" bestFit="1" customWidth="1"/>
    <col min="171" max="171" width="8.85546875" customWidth="1"/>
    <col min="172" max="172" width="9.140625" bestFit="1" customWidth="1"/>
    <col min="173" max="173" width="9.7109375" bestFit="1" customWidth="1"/>
    <col min="174" max="174" width="7.28515625" bestFit="1" customWidth="1"/>
    <col min="175" max="175" width="7.5703125" bestFit="1" customWidth="1"/>
    <col min="176" max="176" width="8.140625" bestFit="1" customWidth="1"/>
    <col min="177" max="177" width="6.28515625" bestFit="1" customWidth="1"/>
    <col min="178" max="178" width="6.5703125" bestFit="1" customWidth="1"/>
    <col min="179" max="179" width="7.140625" bestFit="1" customWidth="1"/>
    <col min="180" max="180" width="8.5703125" bestFit="1" customWidth="1"/>
    <col min="181" max="181" width="8.85546875" bestFit="1" customWidth="1"/>
    <col min="182" max="182" width="9.28515625" bestFit="1" customWidth="1"/>
    <col min="183" max="183" width="10.7109375" bestFit="1" customWidth="1"/>
    <col min="184" max="184" width="11" bestFit="1" customWidth="1"/>
    <col min="185" max="185" width="11.42578125" bestFit="1" customWidth="1"/>
    <col min="186" max="186" width="6" bestFit="1" customWidth="1"/>
    <col min="187" max="187" width="6.28515625" bestFit="1" customWidth="1"/>
    <col min="188" max="188" width="6.7109375" bestFit="1" customWidth="1"/>
    <col min="189" max="191" width="10.7109375" bestFit="1" customWidth="1"/>
  </cols>
  <sheetData>
    <row r="1" spans="1:191" s="125" customFormat="1" ht="23.25" customHeight="1" x14ac:dyDescent="0.25">
      <c r="A1" s="225" t="s">
        <v>5</v>
      </c>
      <c r="B1" s="225" t="s">
        <v>237</v>
      </c>
      <c r="C1" s="225" t="s">
        <v>229</v>
      </c>
      <c r="D1" s="225" t="s">
        <v>148</v>
      </c>
      <c r="E1" s="225" t="s">
        <v>149</v>
      </c>
      <c r="F1" s="225" t="s">
        <v>150</v>
      </c>
      <c r="G1" s="225" t="s">
        <v>151</v>
      </c>
      <c r="H1" s="225" t="s">
        <v>230</v>
      </c>
      <c r="I1" s="225" t="s">
        <v>153</v>
      </c>
      <c r="J1" s="225" t="s">
        <v>6</v>
      </c>
      <c r="K1" s="225" t="s">
        <v>231</v>
      </c>
      <c r="L1" s="225" t="s">
        <v>232</v>
      </c>
      <c r="M1" s="225" t="s">
        <v>233</v>
      </c>
      <c r="N1" s="225" t="s">
        <v>9</v>
      </c>
      <c r="O1" s="225" t="s">
        <v>234</v>
      </c>
      <c r="P1" s="225" t="s">
        <v>11</v>
      </c>
      <c r="Q1" s="225" t="s">
        <v>235</v>
      </c>
      <c r="R1" s="225" t="s">
        <v>236</v>
      </c>
      <c r="S1" s="225" t="s">
        <v>317</v>
      </c>
      <c r="T1" s="225" t="s">
        <v>318</v>
      </c>
      <c r="U1" s="225" t="s">
        <v>238</v>
      </c>
      <c r="V1" s="225" t="s">
        <v>239</v>
      </c>
      <c r="W1" s="225" t="s">
        <v>240</v>
      </c>
      <c r="X1" s="138" t="s">
        <v>19</v>
      </c>
      <c r="Y1" s="229" t="s">
        <v>21</v>
      </c>
      <c r="Z1" s="225" t="s">
        <v>249</v>
      </c>
      <c r="AA1" s="225"/>
      <c r="AB1" s="225"/>
      <c r="AC1" s="225" t="s">
        <v>250</v>
      </c>
      <c r="AD1" s="225"/>
      <c r="AE1" s="225"/>
      <c r="AF1" s="225" t="s">
        <v>251</v>
      </c>
      <c r="AG1" s="225"/>
      <c r="AH1" s="225"/>
      <c r="AI1" s="225" t="s">
        <v>252</v>
      </c>
      <c r="AJ1" s="225"/>
      <c r="AK1" s="225"/>
      <c r="AL1" s="225" t="s">
        <v>253</v>
      </c>
      <c r="AM1" s="225"/>
      <c r="AN1" s="225"/>
      <c r="AO1" s="225" t="s">
        <v>254</v>
      </c>
      <c r="AP1" s="225"/>
      <c r="AQ1" s="225"/>
      <c r="AR1" s="225" t="s">
        <v>255</v>
      </c>
      <c r="AS1" s="225"/>
      <c r="AT1" s="225"/>
      <c r="AU1" s="225" t="s">
        <v>256</v>
      </c>
      <c r="AV1" s="225"/>
      <c r="AW1" s="225"/>
      <c r="AX1" s="225" t="s">
        <v>257</v>
      </c>
      <c r="AY1" s="225"/>
      <c r="AZ1" s="225"/>
      <c r="BA1" s="225" t="s">
        <v>258</v>
      </c>
      <c r="BB1" s="225"/>
      <c r="BC1" s="225"/>
      <c r="BD1" s="230" t="s">
        <v>43</v>
      </c>
      <c r="BE1" s="231"/>
      <c r="BF1" s="231"/>
      <c r="BG1" s="231"/>
      <c r="BH1" s="231"/>
      <c r="BI1" s="231"/>
      <c r="BJ1" s="232"/>
      <c r="BK1" s="230" t="s">
        <v>52</v>
      </c>
      <c r="BL1" s="231"/>
      <c r="BM1" s="231"/>
      <c r="BN1" s="232"/>
      <c r="BO1" s="225" t="s">
        <v>267</v>
      </c>
      <c r="BP1" s="225"/>
      <c r="BQ1" s="225"/>
      <c r="BR1" s="225"/>
      <c r="BS1" s="225"/>
      <c r="BT1" s="228" t="s">
        <v>197</v>
      </c>
      <c r="BU1" s="228"/>
      <c r="BV1" s="228"/>
      <c r="BW1" s="228"/>
      <c r="BX1" s="228"/>
      <c r="BY1" s="228"/>
      <c r="BZ1" s="229" t="s">
        <v>203</v>
      </c>
      <c r="CA1" s="229"/>
      <c r="CB1" s="229"/>
      <c r="CC1" s="229"/>
      <c r="CD1" s="226" t="s">
        <v>202</v>
      </c>
      <c r="CE1" s="227"/>
      <c r="CF1" s="227"/>
      <c r="CG1" s="227"/>
      <c r="CH1" s="228" t="s">
        <v>205</v>
      </c>
      <c r="CI1" s="228"/>
      <c r="CJ1" s="228"/>
      <c r="CK1" s="228"/>
      <c r="CL1" s="228" t="s">
        <v>204</v>
      </c>
      <c r="CM1" s="228"/>
      <c r="CN1" s="228"/>
      <c r="CO1" s="228"/>
      <c r="CP1" s="226" t="s">
        <v>38</v>
      </c>
      <c r="CQ1" s="227"/>
      <c r="CR1" s="227"/>
      <c r="CS1" s="227"/>
      <c r="CT1" s="228" t="s">
        <v>329</v>
      </c>
      <c r="CU1" s="228"/>
      <c r="CV1" s="228"/>
      <c r="CW1" s="228"/>
      <c r="CX1" s="228"/>
      <c r="CY1" s="228"/>
      <c r="CZ1" s="228"/>
      <c r="DA1" s="228" t="s">
        <v>331</v>
      </c>
      <c r="DB1" s="228"/>
      <c r="DC1" s="228"/>
      <c r="DD1" s="228" t="s">
        <v>332</v>
      </c>
      <c r="DE1" s="228"/>
      <c r="DF1" s="228"/>
      <c r="DG1" s="228" t="s">
        <v>333</v>
      </c>
      <c r="DH1" s="228"/>
      <c r="DI1" s="228"/>
      <c r="DJ1" s="228" t="s">
        <v>334</v>
      </c>
      <c r="DK1" s="228"/>
      <c r="DL1" s="228"/>
      <c r="DM1" s="228" t="s">
        <v>335</v>
      </c>
      <c r="DN1" s="228"/>
      <c r="DO1" s="228"/>
      <c r="DP1" s="228" t="s">
        <v>336</v>
      </c>
      <c r="DQ1" s="228"/>
      <c r="DR1" s="228"/>
      <c r="DS1" s="228" t="s">
        <v>337</v>
      </c>
      <c r="DT1" s="228"/>
      <c r="DU1" s="228"/>
      <c r="DV1" s="228" t="s">
        <v>338</v>
      </c>
      <c r="DW1" s="228"/>
      <c r="DX1" s="228"/>
      <c r="DY1" s="228" t="s">
        <v>339</v>
      </c>
      <c r="DZ1" s="228"/>
      <c r="EA1" s="228"/>
      <c r="EB1" s="230" t="s">
        <v>340</v>
      </c>
      <c r="EC1" s="231"/>
      <c r="ED1" s="232"/>
      <c r="EE1" s="228" t="s">
        <v>341</v>
      </c>
      <c r="EF1" s="228"/>
      <c r="EG1" s="228"/>
      <c r="EH1" s="230" t="s">
        <v>342</v>
      </c>
      <c r="EI1" s="231"/>
      <c r="EJ1" s="232"/>
      <c r="EK1" s="225" t="s">
        <v>345</v>
      </c>
      <c r="EL1" s="225"/>
      <c r="EM1" s="225"/>
      <c r="EN1" s="225"/>
      <c r="EO1" s="225"/>
      <c r="EP1" s="225"/>
      <c r="EQ1" s="225" t="s">
        <v>346</v>
      </c>
      <c r="ER1" s="225"/>
      <c r="ES1" s="225"/>
      <c r="ET1" s="225"/>
      <c r="EU1" s="225"/>
      <c r="EV1" s="225"/>
      <c r="EW1" s="225" t="s">
        <v>347</v>
      </c>
      <c r="EX1" s="225"/>
      <c r="EY1" s="225"/>
      <c r="EZ1" s="225"/>
      <c r="FA1" s="225"/>
      <c r="FB1" s="225"/>
      <c r="FC1" s="225" t="s">
        <v>348</v>
      </c>
      <c r="FD1" s="225"/>
      <c r="FE1" s="225"/>
      <c r="FF1" s="225"/>
      <c r="FG1" s="225"/>
      <c r="FH1" s="225"/>
      <c r="FI1" s="225" t="s">
        <v>349</v>
      </c>
      <c r="FJ1" s="225"/>
      <c r="FK1" s="225"/>
      <c r="FL1" s="225"/>
      <c r="FM1" s="225"/>
      <c r="FN1" s="225"/>
      <c r="FO1" s="226" t="s">
        <v>350</v>
      </c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</row>
    <row r="2" spans="1:191" s="128" customFormat="1" ht="22.5" customHeight="1" x14ac:dyDescent="0.2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126" t="s">
        <v>159</v>
      </c>
      <c r="Y2" s="233"/>
      <c r="Z2" s="126" t="s">
        <v>241</v>
      </c>
      <c r="AA2" s="126" t="s">
        <v>242</v>
      </c>
      <c r="AB2" s="127" t="s">
        <v>243</v>
      </c>
      <c r="AC2" s="126" t="s">
        <v>241</v>
      </c>
      <c r="AD2" s="126" t="s">
        <v>242</v>
      </c>
      <c r="AE2" s="127" t="s">
        <v>243</v>
      </c>
      <c r="AF2" s="126" t="s">
        <v>241</v>
      </c>
      <c r="AG2" s="126" t="s">
        <v>242</v>
      </c>
      <c r="AH2" s="127" t="s">
        <v>243</v>
      </c>
      <c r="AI2" s="126" t="s">
        <v>241</v>
      </c>
      <c r="AJ2" s="126" t="s">
        <v>242</v>
      </c>
      <c r="AK2" s="127" t="s">
        <v>243</v>
      </c>
      <c r="AL2" s="126" t="s">
        <v>241</v>
      </c>
      <c r="AM2" s="126" t="s">
        <v>242</v>
      </c>
      <c r="AN2" s="127" t="s">
        <v>243</v>
      </c>
      <c r="AO2" s="126" t="s">
        <v>241</v>
      </c>
      <c r="AP2" s="126" t="s">
        <v>242</v>
      </c>
      <c r="AQ2" s="127" t="s">
        <v>243</v>
      </c>
      <c r="AR2" s="126" t="s">
        <v>241</v>
      </c>
      <c r="AS2" s="126" t="s">
        <v>242</v>
      </c>
      <c r="AT2" s="127" t="s">
        <v>243</v>
      </c>
      <c r="AU2" s="126" t="s">
        <v>241</v>
      </c>
      <c r="AV2" s="126" t="s">
        <v>242</v>
      </c>
      <c r="AW2" s="127" t="s">
        <v>243</v>
      </c>
      <c r="AX2" s="126" t="s">
        <v>241</v>
      </c>
      <c r="AY2" s="126" t="s">
        <v>242</v>
      </c>
      <c r="AZ2" s="127" t="s">
        <v>243</v>
      </c>
      <c r="BA2" s="126" t="s">
        <v>241</v>
      </c>
      <c r="BB2" s="126" t="s">
        <v>242</v>
      </c>
      <c r="BC2" s="127" t="s">
        <v>243</v>
      </c>
      <c r="BD2" s="127" t="s">
        <v>259</v>
      </c>
      <c r="BE2" s="127" t="s">
        <v>260</v>
      </c>
      <c r="BF2" s="127" t="s">
        <v>261</v>
      </c>
      <c r="BG2" s="127" t="s">
        <v>262</v>
      </c>
      <c r="BH2" s="127" t="s">
        <v>263</v>
      </c>
      <c r="BI2" s="127" t="s">
        <v>264</v>
      </c>
      <c r="BJ2" s="127" t="s">
        <v>265</v>
      </c>
      <c r="BK2" s="127" t="s">
        <v>163</v>
      </c>
      <c r="BL2" s="127" t="s">
        <v>266</v>
      </c>
      <c r="BM2" s="127" t="s">
        <v>165</v>
      </c>
      <c r="BN2" s="127" t="s">
        <v>38</v>
      </c>
      <c r="BO2" s="127" t="s">
        <v>44</v>
      </c>
      <c r="BP2" s="127" t="s">
        <v>166</v>
      </c>
      <c r="BQ2" s="127" t="s">
        <v>10</v>
      </c>
      <c r="BR2" s="127" t="s">
        <v>167</v>
      </c>
      <c r="BS2" s="148" t="s">
        <v>38</v>
      </c>
      <c r="BT2" s="148" t="s">
        <v>324</v>
      </c>
      <c r="BU2" s="148" t="s">
        <v>325</v>
      </c>
      <c r="BV2" s="148" t="s">
        <v>326</v>
      </c>
      <c r="BW2" s="148" t="s">
        <v>204</v>
      </c>
      <c r="BX2" s="148" t="s">
        <v>327</v>
      </c>
      <c r="BY2" s="148" t="s">
        <v>328</v>
      </c>
      <c r="BZ2" s="126" t="s">
        <v>116</v>
      </c>
      <c r="CA2" s="126" t="s">
        <v>29</v>
      </c>
      <c r="CB2" s="126" t="s">
        <v>30</v>
      </c>
      <c r="CC2" s="126" t="s">
        <v>243</v>
      </c>
      <c r="CD2" s="126" t="s">
        <v>116</v>
      </c>
      <c r="CE2" s="126" t="s">
        <v>29</v>
      </c>
      <c r="CF2" s="126" t="s">
        <v>30</v>
      </c>
      <c r="CG2" s="126" t="s">
        <v>243</v>
      </c>
      <c r="CH2" s="126" t="s">
        <v>116</v>
      </c>
      <c r="CI2" s="126" t="s">
        <v>29</v>
      </c>
      <c r="CJ2" s="126" t="s">
        <v>30</v>
      </c>
      <c r="CK2" s="126" t="s">
        <v>243</v>
      </c>
      <c r="CL2" s="126" t="s">
        <v>116</v>
      </c>
      <c r="CM2" s="126" t="s">
        <v>29</v>
      </c>
      <c r="CN2" s="126" t="s">
        <v>30</v>
      </c>
      <c r="CO2" s="126" t="s">
        <v>243</v>
      </c>
      <c r="CP2" s="126" t="s">
        <v>116</v>
      </c>
      <c r="CQ2" s="126" t="s">
        <v>29</v>
      </c>
      <c r="CR2" s="126" t="s">
        <v>30</v>
      </c>
      <c r="CS2" s="126" t="s">
        <v>243</v>
      </c>
      <c r="CT2" s="126" t="s">
        <v>206</v>
      </c>
      <c r="CU2" s="126" t="s">
        <v>75</v>
      </c>
      <c r="CV2" s="126" t="s">
        <v>73</v>
      </c>
      <c r="CW2" s="126" t="s">
        <v>207</v>
      </c>
      <c r="CX2" s="126" t="s">
        <v>208</v>
      </c>
      <c r="CY2" s="126" t="s">
        <v>111</v>
      </c>
      <c r="CZ2" s="126" t="s">
        <v>330</v>
      </c>
      <c r="DA2" s="126" t="s">
        <v>29</v>
      </c>
      <c r="DB2" s="126" t="s">
        <v>30</v>
      </c>
      <c r="DC2" s="126" t="s">
        <v>243</v>
      </c>
      <c r="DD2" s="126" t="s">
        <v>29</v>
      </c>
      <c r="DE2" s="126" t="s">
        <v>30</v>
      </c>
      <c r="DF2" s="126" t="s">
        <v>243</v>
      </c>
      <c r="DG2" s="126" t="s">
        <v>29</v>
      </c>
      <c r="DH2" s="126" t="s">
        <v>30</v>
      </c>
      <c r="DI2" s="126" t="s">
        <v>243</v>
      </c>
      <c r="DJ2" s="126" t="s">
        <v>29</v>
      </c>
      <c r="DK2" s="126" t="s">
        <v>30</v>
      </c>
      <c r="DL2" s="126" t="s">
        <v>243</v>
      </c>
      <c r="DM2" s="126" t="s">
        <v>29</v>
      </c>
      <c r="DN2" s="126" t="s">
        <v>30</v>
      </c>
      <c r="DO2" s="126" t="s">
        <v>243</v>
      </c>
      <c r="DP2" s="126" t="s">
        <v>29</v>
      </c>
      <c r="DQ2" s="126" t="s">
        <v>30</v>
      </c>
      <c r="DR2" s="126" t="s">
        <v>243</v>
      </c>
      <c r="DS2" s="126" t="s">
        <v>29</v>
      </c>
      <c r="DT2" s="126" t="s">
        <v>30</v>
      </c>
      <c r="DU2" s="126" t="s">
        <v>243</v>
      </c>
      <c r="DV2" s="126" t="s">
        <v>29</v>
      </c>
      <c r="DW2" s="126" t="s">
        <v>30</v>
      </c>
      <c r="DX2" s="126" t="s">
        <v>243</v>
      </c>
      <c r="DY2" s="126" t="s">
        <v>135</v>
      </c>
      <c r="DZ2" s="126" t="s">
        <v>211</v>
      </c>
      <c r="EA2" s="126" t="s">
        <v>212</v>
      </c>
      <c r="EB2" s="126" t="s">
        <v>135</v>
      </c>
      <c r="EC2" s="126" t="s">
        <v>211</v>
      </c>
      <c r="ED2" s="126" t="s">
        <v>212</v>
      </c>
      <c r="EE2" s="126" t="s">
        <v>135</v>
      </c>
      <c r="EF2" s="126" t="s">
        <v>211</v>
      </c>
      <c r="EG2" s="126" t="s">
        <v>212</v>
      </c>
      <c r="EH2" s="126" t="s">
        <v>135</v>
      </c>
      <c r="EI2" s="126" t="s">
        <v>211</v>
      </c>
      <c r="EJ2" s="126" t="s">
        <v>212</v>
      </c>
      <c r="EK2" s="148" t="s">
        <v>344</v>
      </c>
      <c r="EL2" s="148" t="s">
        <v>221</v>
      </c>
      <c r="EM2" s="148" t="s">
        <v>222</v>
      </c>
      <c r="EN2" s="148" t="s">
        <v>223</v>
      </c>
      <c r="EO2" s="148" t="s">
        <v>224</v>
      </c>
      <c r="EP2" s="148" t="s">
        <v>136</v>
      </c>
      <c r="EQ2" s="148" t="s">
        <v>344</v>
      </c>
      <c r="ER2" s="148" t="s">
        <v>221</v>
      </c>
      <c r="ES2" s="148" t="s">
        <v>222</v>
      </c>
      <c r="ET2" s="148" t="s">
        <v>223</v>
      </c>
      <c r="EU2" s="148" t="s">
        <v>224</v>
      </c>
      <c r="EV2" s="148" t="s">
        <v>136</v>
      </c>
      <c r="EW2" s="148" t="s">
        <v>344</v>
      </c>
      <c r="EX2" s="148" t="s">
        <v>221</v>
      </c>
      <c r="EY2" s="148" t="s">
        <v>222</v>
      </c>
      <c r="EZ2" s="148" t="s">
        <v>223</v>
      </c>
      <c r="FA2" s="148" t="s">
        <v>224</v>
      </c>
      <c r="FB2" s="148" t="s">
        <v>136</v>
      </c>
      <c r="FC2" s="148" t="s">
        <v>344</v>
      </c>
      <c r="FD2" s="148" t="s">
        <v>221</v>
      </c>
      <c r="FE2" s="148" t="s">
        <v>222</v>
      </c>
      <c r="FF2" s="148" t="s">
        <v>223</v>
      </c>
      <c r="FG2" s="148" t="s">
        <v>224</v>
      </c>
      <c r="FH2" s="148" t="s">
        <v>136</v>
      </c>
      <c r="FI2" s="148" t="s">
        <v>344</v>
      </c>
      <c r="FJ2" s="148" t="s">
        <v>221</v>
      </c>
      <c r="FK2" s="148" t="s">
        <v>222</v>
      </c>
      <c r="FL2" s="148" t="s">
        <v>223</v>
      </c>
      <c r="FM2" s="148" t="s">
        <v>224</v>
      </c>
      <c r="FN2" s="148" t="s">
        <v>136</v>
      </c>
      <c r="FO2" s="148" t="s">
        <v>351</v>
      </c>
      <c r="FP2" s="148" t="s">
        <v>352</v>
      </c>
      <c r="FQ2" s="148" t="s">
        <v>353</v>
      </c>
      <c r="FR2" s="148" t="s">
        <v>354</v>
      </c>
      <c r="FS2" s="148" t="s">
        <v>355</v>
      </c>
      <c r="FT2" s="148" t="s">
        <v>356</v>
      </c>
      <c r="FU2" s="148" t="s">
        <v>357</v>
      </c>
      <c r="FV2" s="148" t="s">
        <v>358</v>
      </c>
      <c r="FW2" s="148" t="s">
        <v>359</v>
      </c>
      <c r="FX2" s="148" t="s">
        <v>360</v>
      </c>
      <c r="FY2" s="148" t="s">
        <v>361</v>
      </c>
      <c r="FZ2" s="148" t="s">
        <v>362</v>
      </c>
      <c r="GA2" s="148" t="s">
        <v>363</v>
      </c>
      <c r="GB2" s="148" t="s">
        <v>364</v>
      </c>
      <c r="GC2" s="148" t="s">
        <v>365</v>
      </c>
      <c r="GD2" s="148" t="s">
        <v>366</v>
      </c>
      <c r="GE2" s="148" t="s">
        <v>367</v>
      </c>
      <c r="GF2" s="148" t="s">
        <v>368</v>
      </c>
      <c r="GG2" s="148" t="s">
        <v>369</v>
      </c>
      <c r="GH2" s="148" t="s">
        <v>370</v>
      </c>
      <c r="GI2" s="148" t="s">
        <v>371</v>
      </c>
    </row>
    <row r="3" spans="1:191" s="128" customFormat="1" ht="11.25" x14ac:dyDescent="0.2">
      <c r="A3" s="128" t="s">
        <v>244</v>
      </c>
      <c r="B3" s="128" t="s">
        <v>245</v>
      </c>
      <c r="C3" s="128" t="s">
        <v>313</v>
      </c>
      <c r="D3" s="128" t="s">
        <v>377</v>
      </c>
      <c r="E3" s="128" t="s">
        <v>247</v>
      </c>
      <c r="F3" s="128" t="s">
        <v>372</v>
      </c>
      <c r="G3" s="128" t="s">
        <v>321</v>
      </c>
      <c r="H3" s="128" t="s">
        <v>247</v>
      </c>
      <c r="I3" s="146" t="s">
        <v>343</v>
      </c>
      <c r="J3" s="128">
        <v>52740</v>
      </c>
      <c r="K3" s="128" t="s">
        <v>314</v>
      </c>
      <c r="L3" s="128" t="s">
        <v>315</v>
      </c>
      <c r="M3" s="128" t="s">
        <v>248</v>
      </c>
      <c r="N3" s="128">
        <v>7282847310</v>
      </c>
      <c r="O3" s="128">
        <v>162</v>
      </c>
      <c r="P3" s="128">
        <v>7282847310</v>
      </c>
      <c r="Q3" s="128">
        <v>122</v>
      </c>
      <c r="R3" s="128" t="s">
        <v>316</v>
      </c>
      <c r="S3" s="128" t="s">
        <v>322</v>
      </c>
      <c r="T3" s="128" t="s">
        <v>323</v>
      </c>
      <c r="U3" s="128" t="s">
        <v>319</v>
      </c>
      <c r="V3" s="129" t="s">
        <v>246</v>
      </c>
      <c r="W3" s="129" t="s">
        <v>320</v>
      </c>
      <c r="X3" s="128">
        <v>28</v>
      </c>
      <c r="Y3" s="128">
        <v>9107</v>
      </c>
      <c r="Z3" s="128">
        <v>3</v>
      </c>
      <c r="AA3" s="128">
        <v>1</v>
      </c>
      <c r="AC3" s="128">
        <v>34</v>
      </c>
      <c r="AD3" s="128">
        <v>33</v>
      </c>
      <c r="AF3" s="128">
        <v>7</v>
      </c>
      <c r="AG3" s="128">
        <v>3</v>
      </c>
      <c r="AH3" s="128">
        <v>2</v>
      </c>
      <c r="AI3" s="128">
        <v>14</v>
      </c>
      <c r="AJ3" s="128">
        <v>14</v>
      </c>
      <c r="AL3" s="128">
        <v>387</v>
      </c>
      <c r="AM3" s="128">
        <v>302</v>
      </c>
      <c r="AX3" s="128">
        <v>37</v>
      </c>
      <c r="AY3" s="128">
        <v>77</v>
      </c>
      <c r="BA3" s="128">
        <v>14</v>
      </c>
      <c r="BB3" s="128">
        <v>12</v>
      </c>
      <c r="BK3" s="128">
        <v>51621</v>
      </c>
      <c r="BL3" s="128">
        <v>52223</v>
      </c>
      <c r="BM3" s="128">
        <v>0</v>
      </c>
      <c r="BN3" s="128">
        <v>0</v>
      </c>
      <c r="BO3" s="128">
        <v>71682</v>
      </c>
      <c r="BP3" s="128">
        <v>0</v>
      </c>
      <c r="BQ3" s="128">
        <v>1412</v>
      </c>
      <c r="BR3" s="128">
        <v>30491</v>
      </c>
      <c r="BS3" s="128">
        <v>259</v>
      </c>
      <c r="BT3" s="128">
        <v>60</v>
      </c>
      <c r="BU3" s="128">
        <v>0</v>
      </c>
      <c r="BV3" s="128">
        <v>7</v>
      </c>
      <c r="BW3" s="128">
        <v>4</v>
      </c>
      <c r="BX3" s="128">
        <v>3</v>
      </c>
      <c r="BY3" s="128">
        <v>5</v>
      </c>
      <c r="BZ3" s="128">
        <v>1</v>
      </c>
      <c r="CA3" s="128">
        <v>123</v>
      </c>
      <c r="CB3" s="128">
        <v>41</v>
      </c>
      <c r="CC3" s="128">
        <v>0</v>
      </c>
      <c r="CD3" s="128">
        <v>0</v>
      </c>
      <c r="CE3" s="128">
        <v>0</v>
      </c>
      <c r="CF3" s="128">
        <v>0</v>
      </c>
      <c r="CG3" s="128">
        <v>0</v>
      </c>
      <c r="CH3" s="128">
        <v>1</v>
      </c>
      <c r="CI3" s="128">
        <v>45</v>
      </c>
      <c r="CJ3" s="128">
        <v>25</v>
      </c>
      <c r="CL3" s="128">
        <v>0</v>
      </c>
      <c r="CM3" s="128">
        <v>0</v>
      </c>
      <c r="CN3" s="128">
        <v>0</v>
      </c>
      <c r="CO3" s="128">
        <v>0</v>
      </c>
      <c r="CP3" s="128">
        <v>0</v>
      </c>
      <c r="CQ3" s="128">
        <v>0</v>
      </c>
      <c r="CR3" s="128">
        <v>0</v>
      </c>
      <c r="CS3" s="128">
        <v>0</v>
      </c>
      <c r="CT3" s="128">
        <v>0</v>
      </c>
      <c r="CU3" s="128">
        <v>0</v>
      </c>
      <c r="CV3" s="128">
        <v>0</v>
      </c>
      <c r="CW3" s="128">
        <v>0</v>
      </c>
      <c r="CX3" s="128">
        <v>0</v>
      </c>
      <c r="CY3" s="128">
        <v>0</v>
      </c>
      <c r="CZ3" s="128">
        <v>0</v>
      </c>
      <c r="DA3" s="128">
        <v>46</v>
      </c>
      <c r="DB3" s="128">
        <v>72</v>
      </c>
      <c r="DC3" s="128">
        <v>0</v>
      </c>
      <c r="DD3" s="128">
        <v>362</v>
      </c>
      <c r="DE3" s="128">
        <v>377</v>
      </c>
      <c r="DF3" s="128">
        <v>0</v>
      </c>
      <c r="DG3" s="128">
        <v>18</v>
      </c>
      <c r="DH3" s="128">
        <v>14</v>
      </c>
      <c r="DI3" s="128">
        <v>0</v>
      </c>
      <c r="DJ3" s="128">
        <v>2</v>
      </c>
      <c r="DK3" s="128">
        <v>4</v>
      </c>
      <c r="DL3" s="128">
        <v>0</v>
      </c>
      <c r="DM3" s="128">
        <v>3</v>
      </c>
      <c r="DN3" s="128">
        <v>2</v>
      </c>
      <c r="DO3" s="128">
        <v>0</v>
      </c>
      <c r="DP3" s="128">
        <v>153</v>
      </c>
      <c r="DQ3" s="128">
        <v>142</v>
      </c>
      <c r="DR3" s="128">
        <v>0</v>
      </c>
      <c r="DS3" s="128">
        <v>133</v>
      </c>
      <c r="DT3" s="128">
        <v>123</v>
      </c>
      <c r="DU3" s="128">
        <v>0</v>
      </c>
      <c r="DV3" s="128">
        <v>0</v>
      </c>
      <c r="DW3" s="128">
        <v>0</v>
      </c>
      <c r="DX3" s="128">
        <v>0</v>
      </c>
      <c r="DY3" s="128">
        <v>0</v>
      </c>
      <c r="DZ3" s="128">
        <v>0</v>
      </c>
      <c r="EA3" s="128">
        <v>22</v>
      </c>
      <c r="EB3" s="128">
        <v>0</v>
      </c>
      <c r="EC3" s="128">
        <v>0</v>
      </c>
      <c r="ED3" s="128">
        <v>0</v>
      </c>
      <c r="EE3" s="128">
        <v>0</v>
      </c>
      <c r="EF3" s="128">
        <v>0</v>
      </c>
      <c r="EG3" s="128">
        <v>0</v>
      </c>
      <c r="EH3" s="128">
        <v>0</v>
      </c>
      <c r="EI3" s="128">
        <v>0</v>
      </c>
      <c r="EJ3" s="128">
        <v>0</v>
      </c>
      <c r="EK3" s="128">
        <v>5</v>
      </c>
      <c r="EL3" s="128">
        <v>0</v>
      </c>
      <c r="EM3" s="128">
        <v>4</v>
      </c>
      <c r="EN3" s="128">
        <v>0</v>
      </c>
      <c r="EO3" s="128">
        <v>4</v>
      </c>
      <c r="EP3" s="128">
        <v>6</v>
      </c>
      <c r="EQ3" s="128">
        <v>0</v>
      </c>
      <c r="ER3" s="128">
        <v>0</v>
      </c>
      <c r="ES3" s="128">
        <v>0</v>
      </c>
      <c r="ET3" s="128">
        <v>0</v>
      </c>
      <c r="EU3" s="128">
        <v>0</v>
      </c>
      <c r="EV3" s="128">
        <v>0</v>
      </c>
      <c r="EW3" s="128">
        <v>0</v>
      </c>
      <c r="EX3" s="128">
        <v>0</v>
      </c>
      <c r="EY3" s="128">
        <v>6</v>
      </c>
      <c r="EZ3" s="128">
        <v>0</v>
      </c>
      <c r="FA3" s="128">
        <v>0</v>
      </c>
      <c r="FB3" s="128">
        <v>0</v>
      </c>
      <c r="FC3" s="128">
        <v>0</v>
      </c>
      <c r="FD3" s="128">
        <v>0</v>
      </c>
      <c r="FE3" s="128">
        <v>0</v>
      </c>
      <c r="FF3" s="128">
        <v>0</v>
      </c>
      <c r="FG3" s="128">
        <v>0</v>
      </c>
      <c r="FH3" s="128">
        <v>0</v>
      </c>
      <c r="FI3" s="128">
        <v>0</v>
      </c>
      <c r="FJ3" s="128">
        <v>0</v>
      </c>
      <c r="FK3" s="128">
        <v>0</v>
      </c>
      <c r="FL3" s="128">
        <v>0</v>
      </c>
      <c r="FM3" s="128">
        <v>0</v>
      </c>
      <c r="FN3" s="128">
        <v>0</v>
      </c>
      <c r="FO3" s="128">
        <v>1</v>
      </c>
      <c r="FP3" s="128">
        <v>4</v>
      </c>
      <c r="FQ3" s="128">
        <v>0</v>
      </c>
      <c r="FR3" s="128">
        <v>0</v>
      </c>
      <c r="FS3" s="128">
        <v>0</v>
      </c>
      <c r="FT3" s="128">
        <v>0</v>
      </c>
      <c r="FU3" s="128">
        <v>11</v>
      </c>
      <c r="FV3" s="128">
        <v>18</v>
      </c>
      <c r="FW3" s="128">
        <v>0</v>
      </c>
      <c r="FX3" s="128">
        <v>6</v>
      </c>
      <c r="FY3" s="128">
        <v>3</v>
      </c>
      <c r="FZ3" s="128">
        <v>0</v>
      </c>
      <c r="GA3" s="128">
        <v>6</v>
      </c>
      <c r="GB3" s="128">
        <v>19</v>
      </c>
      <c r="GC3" s="128">
        <v>0</v>
      </c>
      <c r="GD3" s="128">
        <v>0</v>
      </c>
      <c r="GE3" s="128">
        <v>0</v>
      </c>
      <c r="GF3" s="128">
        <v>0</v>
      </c>
      <c r="GG3" s="128">
        <v>12</v>
      </c>
      <c r="GH3" s="128">
        <v>22</v>
      </c>
      <c r="GI3" s="128">
        <v>0</v>
      </c>
    </row>
    <row r="4" spans="1:191" s="128" customFormat="1" ht="11.25" x14ac:dyDescent="0.2">
      <c r="V4" s="129"/>
      <c r="BD4" s="139"/>
      <c r="BE4" s="140"/>
      <c r="BF4" s="140"/>
      <c r="BG4" s="140"/>
      <c r="BH4" s="140"/>
      <c r="BI4" s="140"/>
      <c r="BJ4" s="140"/>
      <c r="BK4" s="139"/>
    </row>
    <row r="5" spans="1:191" s="128" customFormat="1" ht="11.25" x14ac:dyDescent="0.2">
      <c r="V5" s="129"/>
    </row>
    <row r="6" spans="1:191" s="128" customFormat="1" ht="11.25" x14ac:dyDescent="0.2">
      <c r="V6" s="129"/>
    </row>
    <row r="7" spans="1:191" s="128" customFormat="1" ht="11.25" x14ac:dyDescent="0.2">
      <c r="V7" s="129"/>
    </row>
    <row r="8" spans="1:191" s="128" customFormat="1" ht="11.25" x14ac:dyDescent="0.2">
      <c r="V8" s="129"/>
    </row>
    <row r="9" spans="1:191" s="128" customFormat="1" ht="11.25" x14ac:dyDescent="0.2">
      <c r="V9" s="129"/>
    </row>
    <row r="10" spans="1:191" s="128" customFormat="1" ht="11.25" x14ac:dyDescent="0.2">
      <c r="V10" s="129"/>
    </row>
    <row r="11" spans="1:191" s="128" customFormat="1" ht="11.25" x14ac:dyDescent="0.2">
      <c r="V11" s="129"/>
    </row>
    <row r="12" spans="1:191" s="128" customFormat="1" ht="11.25" x14ac:dyDescent="0.2">
      <c r="V12" s="129"/>
    </row>
    <row r="13" spans="1:191" s="128" customFormat="1" ht="11.25" x14ac:dyDescent="0.2">
      <c r="V13" s="129"/>
    </row>
    <row r="14" spans="1:191" s="128" customFormat="1" ht="11.25" x14ac:dyDescent="0.2">
      <c r="V14" s="129"/>
    </row>
    <row r="15" spans="1:191" s="128" customFormat="1" ht="11.25" x14ac:dyDescent="0.2">
      <c r="V15" s="129"/>
    </row>
    <row r="16" spans="1:191" s="128" customFormat="1" ht="11.25" x14ac:dyDescent="0.2">
      <c r="V16" s="129"/>
    </row>
    <row r="17" spans="22:23" s="128" customFormat="1" ht="11.25" x14ac:dyDescent="0.2">
      <c r="V17" s="129"/>
    </row>
    <row r="18" spans="22:23" s="128" customFormat="1" ht="11.25" x14ac:dyDescent="0.2">
      <c r="V18" s="129"/>
      <c r="W18" s="129"/>
    </row>
    <row r="19" spans="22:23" s="128" customFormat="1" ht="11.25" x14ac:dyDescent="0.2">
      <c r="V19" s="129"/>
    </row>
    <row r="20" spans="22:23" s="128" customFormat="1" ht="11.25" x14ac:dyDescent="0.2">
      <c r="V20" s="129"/>
    </row>
    <row r="21" spans="22:23" s="128" customFormat="1" ht="11.25" x14ac:dyDescent="0.2">
      <c r="V21" s="129"/>
    </row>
    <row r="22" spans="22:23" s="128" customFormat="1" ht="11.25" x14ac:dyDescent="0.2">
      <c r="V22" s="129"/>
    </row>
    <row r="23" spans="22:23" s="128" customFormat="1" ht="11.25" x14ac:dyDescent="0.2">
      <c r="V23" s="129"/>
    </row>
    <row r="24" spans="22:23" s="128" customFormat="1" ht="11.25" x14ac:dyDescent="0.2">
      <c r="V24" s="129"/>
    </row>
    <row r="25" spans="22:23" s="128" customFormat="1" ht="11.25" x14ac:dyDescent="0.2">
      <c r="V25" s="129"/>
    </row>
    <row r="26" spans="22:23" s="128" customFormat="1" ht="11.25" x14ac:dyDescent="0.2">
      <c r="V26" s="129"/>
    </row>
    <row r="27" spans="22:23" s="128" customFormat="1" ht="11.25" x14ac:dyDescent="0.2">
      <c r="V27" s="129"/>
    </row>
    <row r="28" spans="22:23" s="128" customFormat="1" ht="11.25" x14ac:dyDescent="0.2">
      <c r="V28" s="129"/>
    </row>
    <row r="29" spans="22:23" s="128" customFormat="1" ht="11.25" x14ac:dyDescent="0.2">
      <c r="V29" s="129"/>
    </row>
    <row r="30" spans="22:23" s="128" customFormat="1" ht="11.25" x14ac:dyDescent="0.2">
      <c r="V30" s="129"/>
    </row>
    <row r="31" spans="22:23" s="128" customFormat="1" ht="11.25" x14ac:dyDescent="0.2"/>
    <row r="32" spans="22:23" s="128" customFormat="1" ht="11.25" x14ac:dyDescent="0.2"/>
    <row r="33" s="128" customFormat="1" ht="11.25" x14ac:dyDescent="0.2"/>
    <row r="34" s="128" customFormat="1" ht="11.25" x14ac:dyDescent="0.2"/>
    <row r="35" s="128" customFormat="1" ht="11.25" x14ac:dyDescent="0.2"/>
    <row r="36" s="128" customFormat="1" ht="11.25" x14ac:dyDescent="0.2"/>
    <row r="37" s="128" customFormat="1" ht="11.25" x14ac:dyDescent="0.2"/>
  </sheetData>
  <mergeCells count="62">
    <mergeCell ref="Y1:Y2"/>
    <mergeCell ref="BD1:BJ1"/>
    <mergeCell ref="BK1:BN1"/>
    <mergeCell ref="EE1:EG1"/>
    <mergeCell ref="EH1:EJ1"/>
    <mergeCell ref="EK1:EP1"/>
    <mergeCell ref="EQ1:EV1"/>
    <mergeCell ref="EW1:FB1"/>
    <mergeCell ref="BO1:BS1"/>
    <mergeCell ref="BZ1:CC1"/>
    <mergeCell ref="BT1:BY1"/>
    <mergeCell ref="DD1:DF1"/>
    <mergeCell ref="DG1:DI1"/>
    <mergeCell ref="AO1:AQ1"/>
    <mergeCell ref="AR1:AT1"/>
    <mergeCell ref="AU1:AW1"/>
    <mergeCell ref="AX1:AZ1"/>
    <mergeCell ref="BA1:BC1"/>
    <mergeCell ref="Z1:AB1"/>
    <mergeCell ref="AC1:AE1"/>
    <mergeCell ref="AF1:AH1"/>
    <mergeCell ref="AI1:AK1"/>
    <mergeCell ref="AL1:AN1"/>
    <mergeCell ref="R1:R2"/>
    <mergeCell ref="B1:B2"/>
    <mergeCell ref="U1:U2"/>
    <mergeCell ref="V1:V2"/>
    <mergeCell ref="W1:W2"/>
    <mergeCell ref="S1:S2"/>
    <mergeCell ref="T1:T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E1:E2"/>
    <mergeCell ref="A1:A2"/>
    <mergeCell ref="C1:C2"/>
    <mergeCell ref="D1:D2"/>
    <mergeCell ref="FC1:FH1"/>
    <mergeCell ref="FI1:FN1"/>
    <mergeCell ref="FO1:GG1"/>
    <mergeCell ref="CD1:CG1"/>
    <mergeCell ref="CH1:CK1"/>
    <mergeCell ref="CL1:CO1"/>
    <mergeCell ref="CP1:CS1"/>
    <mergeCell ref="CT1:CZ1"/>
    <mergeCell ref="DA1:DC1"/>
    <mergeCell ref="DJ1:DL1"/>
    <mergeCell ref="DM1:DO1"/>
    <mergeCell ref="DP1:DR1"/>
    <mergeCell ref="DS1:DU1"/>
    <mergeCell ref="DV1:DX1"/>
    <mergeCell ref="DY1:EA1"/>
    <mergeCell ref="EB1:ED1"/>
  </mergeCells>
  <hyperlinks>
    <hyperlink ref="W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workbookViewId="0">
      <selection activeCell="B35" sqref="B35"/>
    </sheetView>
  </sheetViews>
  <sheetFormatPr baseColWidth="10" defaultRowHeight="15" x14ac:dyDescent="0.25"/>
  <cols>
    <col min="1" max="1" width="3.42578125" customWidth="1"/>
    <col min="2" max="2" width="56.42578125" bestFit="1" customWidth="1"/>
    <col min="3" max="7" width="13.28515625" bestFit="1" customWidth="1"/>
    <col min="8" max="8" width="11.5703125" bestFit="1" customWidth="1"/>
    <col min="9" max="9" width="12.28515625" bestFit="1" customWidth="1"/>
  </cols>
  <sheetData>
    <row r="2" spans="2:9" ht="33" customHeight="1" x14ac:dyDescent="0.25">
      <c r="B2" s="143" t="s">
        <v>268</v>
      </c>
      <c r="C2" s="143" t="s">
        <v>269</v>
      </c>
      <c r="D2" s="143" t="s">
        <v>270</v>
      </c>
      <c r="E2" s="143" t="s">
        <v>271</v>
      </c>
      <c r="F2" s="143" t="s">
        <v>272</v>
      </c>
      <c r="G2" s="143" t="s">
        <v>273</v>
      </c>
      <c r="H2" s="143" t="s">
        <v>274</v>
      </c>
      <c r="I2" s="143" t="s">
        <v>275</v>
      </c>
    </row>
    <row r="3" spans="2:9" x14ac:dyDescent="0.25">
      <c r="B3" s="141" t="s">
        <v>276</v>
      </c>
      <c r="C3" s="142">
        <v>103844282</v>
      </c>
      <c r="D3" s="141">
        <v>0</v>
      </c>
      <c r="E3" s="141">
        <v>0</v>
      </c>
      <c r="F3" s="141">
        <v>0</v>
      </c>
      <c r="G3" s="141">
        <v>0</v>
      </c>
      <c r="H3" s="141">
        <v>0</v>
      </c>
      <c r="I3" s="141">
        <v>0</v>
      </c>
    </row>
    <row r="4" spans="2:9" x14ac:dyDescent="0.25">
      <c r="B4" s="141" t="s">
        <v>277</v>
      </c>
      <c r="C4" s="141">
        <v>0</v>
      </c>
      <c r="D4" s="142">
        <v>18202244.899999999</v>
      </c>
      <c r="E4" s="142">
        <v>17934435.449999999</v>
      </c>
      <c r="F4" s="142">
        <v>41630339.25</v>
      </c>
      <c r="G4" s="142">
        <v>26786385.969999999</v>
      </c>
      <c r="H4" s="141">
        <v>0</v>
      </c>
      <c r="I4" s="142">
        <v>14843953.279999999</v>
      </c>
    </row>
    <row r="5" spans="2:9" x14ac:dyDescent="0.25">
      <c r="B5" s="141" t="s">
        <v>278</v>
      </c>
      <c r="C5" s="141">
        <v>0</v>
      </c>
      <c r="D5" s="142">
        <v>3962302.03</v>
      </c>
      <c r="E5" s="142">
        <v>3910103.07</v>
      </c>
      <c r="F5" s="142">
        <v>3234214.63</v>
      </c>
      <c r="G5" s="142">
        <v>3232471.72</v>
      </c>
      <c r="H5" s="141">
        <v>0</v>
      </c>
      <c r="I5" s="142">
        <v>1742.91</v>
      </c>
    </row>
    <row r="6" spans="2:9" x14ac:dyDescent="0.25">
      <c r="B6" s="141" t="s">
        <v>279</v>
      </c>
      <c r="C6" s="141">
        <v>0</v>
      </c>
      <c r="D6" s="142">
        <v>3057657.05</v>
      </c>
      <c r="E6" s="142">
        <v>3012099.94</v>
      </c>
      <c r="F6" s="142">
        <v>2997499.22</v>
      </c>
      <c r="G6" s="142">
        <v>2997353.52</v>
      </c>
      <c r="H6" s="141">
        <v>0</v>
      </c>
      <c r="I6" s="141">
        <v>145.69999999999999</v>
      </c>
    </row>
    <row r="7" spans="2:9" x14ac:dyDescent="0.25">
      <c r="B7" s="141" t="s">
        <v>280</v>
      </c>
      <c r="C7" s="141">
        <v>0</v>
      </c>
      <c r="D7" s="142">
        <v>3536808.47</v>
      </c>
      <c r="E7" s="142">
        <v>3489274.89</v>
      </c>
      <c r="F7" s="142">
        <v>3490807.34</v>
      </c>
      <c r="G7" s="142">
        <v>3497759.59</v>
      </c>
      <c r="H7" s="141">
        <v>0</v>
      </c>
      <c r="I7" s="142">
        <v>-6952.25</v>
      </c>
    </row>
    <row r="8" spans="2:9" x14ac:dyDescent="0.25">
      <c r="B8" s="141" t="s">
        <v>281</v>
      </c>
      <c r="C8" s="141">
        <v>0</v>
      </c>
      <c r="D8" s="142">
        <v>2688663.26</v>
      </c>
      <c r="E8" s="142">
        <v>2535241.9500000002</v>
      </c>
      <c r="F8" s="142">
        <v>3269906.27</v>
      </c>
      <c r="G8" s="142">
        <v>3267458.15</v>
      </c>
      <c r="H8" s="141">
        <v>0</v>
      </c>
      <c r="I8" s="142">
        <v>2448.12</v>
      </c>
    </row>
    <row r="9" spans="2:9" x14ac:dyDescent="0.25">
      <c r="B9" s="141" t="s">
        <v>282</v>
      </c>
      <c r="C9" s="141">
        <v>0</v>
      </c>
      <c r="D9" s="142">
        <v>3324755.06</v>
      </c>
      <c r="E9" s="142">
        <v>3257071.18</v>
      </c>
      <c r="F9" s="142">
        <v>3822567.55</v>
      </c>
      <c r="G9" s="142">
        <v>3822567.55</v>
      </c>
      <c r="H9" s="141">
        <v>0</v>
      </c>
      <c r="I9" s="141">
        <v>0</v>
      </c>
    </row>
    <row r="10" spans="2:9" x14ac:dyDescent="0.25">
      <c r="B10" s="141" t="s">
        <v>283</v>
      </c>
      <c r="C10" s="141">
        <v>0</v>
      </c>
      <c r="D10" s="142">
        <v>2323737.37</v>
      </c>
      <c r="E10" s="142">
        <v>2290128.6</v>
      </c>
      <c r="F10" s="142">
        <v>2548418.3199999998</v>
      </c>
      <c r="G10" s="142">
        <v>2543493.3199999998</v>
      </c>
      <c r="H10" s="141">
        <v>0</v>
      </c>
      <c r="I10" s="142">
        <v>4925</v>
      </c>
    </row>
    <row r="11" spans="2:9" x14ac:dyDescent="0.25">
      <c r="B11" s="141" t="s">
        <v>284</v>
      </c>
      <c r="C11" s="141">
        <v>0</v>
      </c>
      <c r="D11" s="142">
        <v>2624812.17</v>
      </c>
      <c r="E11" s="142">
        <v>2590202.94</v>
      </c>
      <c r="F11" s="142">
        <v>3288224.78</v>
      </c>
      <c r="G11" s="142">
        <v>3282016.08</v>
      </c>
      <c r="H11" s="141">
        <v>0</v>
      </c>
      <c r="I11" s="142">
        <v>6208.7</v>
      </c>
    </row>
    <row r="12" spans="2:9" x14ac:dyDescent="0.25">
      <c r="B12" s="141" t="s">
        <v>285</v>
      </c>
      <c r="C12" s="141">
        <v>0</v>
      </c>
      <c r="D12" s="142">
        <v>3680401.58</v>
      </c>
      <c r="E12" s="142">
        <v>3631801.33</v>
      </c>
      <c r="F12" s="142">
        <v>4442994.28</v>
      </c>
      <c r="G12" s="142">
        <v>4445311.6900000004</v>
      </c>
      <c r="H12" s="141">
        <v>0</v>
      </c>
      <c r="I12" s="142">
        <v>-2317.41</v>
      </c>
    </row>
    <row r="13" spans="2:9" x14ac:dyDescent="0.25">
      <c r="B13" s="141" t="s">
        <v>286</v>
      </c>
      <c r="C13" s="141">
        <v>0</v>
      </c>
      <c r="D13" s="142">
        <v>3869320.23</v>
      </c>
      <c r="E13" s="142">
        <v>3719489.39</v>
      </c>
      <c r="F13" s="142">
        <v>4503817.5599999996</v>
      </c>
      <c r="G13" s="142">
        <v>4488549.47</v>
      </c>
      <c r="H13" s="141">
        <v>0</v>
      </c>
      <c r="I13" s="142">
        <v>15268.09</v>
      </c>
    </row>
    <row r="14" spans="2:9" x14ac:dyDescent="0.25">
      <c r="B14" s="141" t="s">
        <v>287</v>
      </c>
      <c r="C14" s="141">
        <v>0</v>
      </c>
      <c r="D14" s="142">
        <v>6236891.8399999999</v>
      </c>
      <c r="E14" s="142">
        <v>6155547.8200000003</v>
      </c>
      <c r="F14" s="142">
        <v>5218934.34</v>
      </c>
      <c r="G14" s="142">
        <v>5220266.76</v>
      </c>
      <c r="H14" s="141">
        <v>0</v>
      </c>
      <c r="I14" s="142">
        <v>-1332.42</v>
      </c>
    </row>
    <row r="15" spans="2:9" x14ac:dyDescent="0.25">
      <c r="B15" s="141" t="s">
        <v>288</v>
      </c>
      <c r="C15" s="141">
        <v>0</v>
      </c>
      <c r="D15" s="142">
        <v>3512539.18</v>
      </c>
      <c r="E15" s="142">
        <v>3463267.94</v>
      </c>
      <c r="F15" s="142">
        <v>3534682.63</v>
      </c>
      <c r="G15" s="142">
        <v>3534682.63</v>
      </c>
      <c r="H15" s="141">
        <v>0</v>
      </c>
      <c r="I15" s="141">
        <v>0</v>
      </c>
    </row>
    <row r="16" spans="2:9" x14ac:dyDescent="0.25">
      <c r="B16" s="141" t="s">
        <v>289</v>
      </c>
      <c r="C16" s="141">
        <v>0</v>
      </c>
      <c r="D16" s="142">
        <v>5089809.82</v>
      </c>
      <c r="E16" s="142">
        <v>5003723.53</v>
      </c>
      <c r="F16" s="142">
        <v>4347453.78</v>
      </c>
      <c r="G16" s="142">
        <v>4348771.8</v>
      </c>
      <c r="H16" s="141">
        <v>0</v>
      </c>
      <c r="I16" s="142">
        <v>-1318.02</v>
      </c>
    </row>
    <row r="17" spans="2:9" x14ac:dyDescent="0.25">
      <c r="B17" s="141" t="s">
        <v>290</v>
      </c>
      <c r="C17" s="141">
        <v>0</v>
      </c>
      <c r="D17" s="142">
        <v>2716988.66</v>
      </c>
      <c r="E17" s="142">
        <v>2674299.81</v>
      </c>
      <c r="F17" s="142">
        <v>2968438.39</v>
      </c>
      <c r="G17" s="142">
        <v>2980035.38</v>
      </c>
      <c r="H17" s="141">
        <v>0</v>
      </c>
      <c r="I17" s="142">
        <v>-11596.99</v>
      </c>
    </row>
    <row r="18" spans="2:9" x14ac:dyDescent="0.25">
      <c r="B18" s="141" t="s">
        <v>291</v>
      </c>
      <c r="C18" s="141">
        <v>0</v>
      </c>
      <c r="D18" s="142">
        <v>4615286.4000000004</v>
      </c>
      <c r="E18" s="142">
        <v>4539925.17</v>
      </c>
      <c r="F18" s="142">
        <v>4269258.2699999996</v>
      </c>
      <c r="G18" s="142">
        <v>4280845.3499999996</v>
      </c>
      <c r="H18" s="141">
        <v>0</v>
      </c>
      <c r="I18" s="142">
        <v>-11587.08</v>
      </c>
    </row>
    <row r="19" spans="2:9" x14ac:dyDescent="0.25">
      <c r="B19" s="141" t="s">
        <v>292</v>
      </c>
      <c r="C19" s="141">
        <v>0</v>
      </c>
      <c r="D19" s="142">
        <v>2713371.21</v>
      </c>
      <c r="E19" s="142">
        <v>2657186.08</v>
      </c>
      <c r="F19" s="142">
        <v>2535820.2999999998</v>
      </c>
      <c r="G19" s="142">
        <v>2535820.2999999998</v>
      </c>
      <c r="H19" s="141">
        <v>0</v>
      </c>
      <c r="I19" s="141">
        <v>0</v>
      </c>
    </row>
    <row r="20" spans="2:9" x14ac:dyDescent="0.25">
      <c r="B20" s="141" t="s">
        <v>293</v>
      </c>
      <c r="C20" s="141">
        <v>0</v>
      </c>
      <c r="D20" s="142">
        <v>5807877.5</v>
      </c>
      <c r="E20" s="142">
        <v>5710579.46</v>
      </c>
      <c r="F20" s="142">
        <v>6161990.4800000004</v>
      </c>
      <c r="G20" s="142">
        <v>6148100.4000000004</v>
      </c>
      <c r="H20" s="141">
        <v>0</v>
      </c>
      <c r="I20" s="142">
        <v>13890.08</v>
      </c>
    </row>
    <row r="21" spans="2:9" x14ac:dyDescent="0.25">
      <c r="B21" s="141" t="s">
        <v>294</v>
      </c>
      <c r="C21" s="141">
        <v>0</v>
      </c>
      <c r="D21" s="142">
        <v>3701692.18</v>
      </c>
      <c r="E21" s="142">
        <v>3642610.41</v>
      </c>
      <c r="F21" s="142">
        <v>3079996.37</v>
      </c>
      <c r="G21" s="142">
        <v>3081249.99</v>
      </c>
      <c r="H21" s="141">
        <v>0</v>
      </c>
      <c r="I21" s="142">
        <v>-1253.6199999999999</v>
      </c>
    </row>
    <row r="22" spans="2:9" x14ac:dyDescent="0.25">
      <c r="B22" s="141" t="s">
        <v>295</v>
      </c>
      <c r="C22" s="141">
        <v>0</v>
      </c>
      <c r="D22" s="142">
        <v>5113936.76</v>
      </c>
      <c r="E22" s="142">
        <v>5047022.29</v>
      </c>
      <c r="F22" s="142">
        <v>4992791.66</v>
      </c>
      <c r="G22" s="142">
        <v>4982666.66</v>
      </c>
      <c r="H22" s="141">
        <v>0</v>
      </c>
      <c r="I22" s="142">
        <v>10125</v>
      </c>
    </row>
    <row r="23" spans="2:9" x14ac:dyDescent="0.25">
      <c r="B23" s="141" t="s">
        <v>296</v>
      </c>
      <c r="C23" s="141">
        <v>0</v>
      </c>
      <c r="D23" s="142">
        <v>3213180.5</v>
      </c>
      <c r="E23" s="142">
        <v>3170146.75</v>
      </c>
      <c r="F23" s="142">
        <v>3218462.31</v>
      </c>
      <c r="G23" s="142">
        <v>3217962.31</v>
      </c>
      <c r="H23" s="141">
        <v>0</v>
      </c>
      <c r="I23" s="141">
        <v>500</v>
      </c>
    </row>
    <row r="24" spans="2:9" x14ac:dyDescent="0.25">
      <c r="B24" s="141" t="s">
        <v>297</v>
      </c>
      <c r="C24" s="141">
        <v>0</v>
      </c>
      <c r="D24" s="142">
        <v>4399782.16</v>
      </c>
      <c r="E24" s="142">
        <v>4341691.21</v>
      </c>
      <c r="F24" s="142">
        <v>4105448.73</v>
      </c>
      <c r="G24" s="142">
        <v>4100523.73</v>
      </c>
      <c r="H24" s="141">
        <v>0</v>
      </c>
      <c r="I24" s="142">
        <v>4925</v>
      </c>
    </row>
    <row r="25" spans="2:9" x14ac:dyDescent="0.25">
      <c r="B25" s="141" t="s">
        <v>298</v>
      </c>
      <c r="C25" s="141">
        <v>0</v>
      </c>
      <c r="D25" s="142">
        <v>3879996.59</v>
      </c>
      <c r="E25" s="142">
        <v>3829084.19</v>
      </c>
      <c r="F25" s="142">
        <v>3898841.29</v>
      </c>
      <c r="G25" s="142">
        <v>3912745.78</v>
      </c>
      <c r="H25" s="141">
        <v>0</v>
      </c>
      <c r="I25" s="142">
        <v>-13904.49</v>
      </c>
    </row>
    <row r="26" spans="2:9" x14ac:dyDescent="0.25">
      <c r="B26" s="141" t="s">
        <v>299</v>
      </c>
      <c r="C26" s="141">
        <v>0</v>
      </c>
      <c r="D26" s="142">
        <v>5572227.0800000001</v>
      </c>
      <c r="E26" s="142">
        <v>5492079.2800000003</v>
      </c>
      <c r="F26" s="142">
        <v>5417424.6600000001</v>
      </c>
      <c r="G26" s="142">
        <v>5413676.1399999997</v>
      </c>
      <c r="H26" s="141">
        <v>0</v>
      </c>
      <c r="I26" s="142">
        <v>3748.52</v>
      </c>
    </row>
    <row r="27" spans="2:9" x14ac:dyDescent="0.25">
      <c r="B27" s="141" t="s">
        <v>300</v>
      </c>
      <c r="C27" s="141">
        <v>0</v>
      </c>
      <c r="D27" s="141">
        <v>0</v>
      </c>
      <c r="E27" s="141">
        <v>0</v>
      </c>
      <c r="F27" s="142">
        <v>1633225.46</v>
      </c>
      <c r="G27" s="142">
        <v>1656684.96</v>
      </c>
      <c r="H27" s="141">
        <v>0</v>
      </c>
      <c r="I27" s="142">
        <v>-23459.5</v>
      </c>
    </row>
    <row r="28" spans="2:9" x14ac:dyDescent="0.25">
      <c r="B28" s="141" t="s">
        <v>301</v>
      </c>
      <c r="C28" s="141">
        <v>0</v>
      </c>
      <c r="D28" s="141">
        <v>0</v>
      </c>
      <c r="E28" s="141">
        <v>0</v>
      </c>
      <c r="F28" s="142">
        <v>1754789.21</v>
      </c>
      <c r="G28" s="142">
        <v>1754789.11</v>
      </c>
      <c r="H28" s="141">
        <v>0</v>
      </c>
      <c r="I28" s="141">
        <v>0.1</v>
      </c>
    </row>
    <row r="29" spans="2:9" x14ac:dyDescent="0.25">
      <c r="B29" s="141" t="s">
        <v>302</v>
      </c>
      <c r="C29" s="141">
        <v>0</v>
      </c>
      <c r="D29" s="141">
        <v>0</v>
      </c>
      <c r="E29" s="141">
        <v>0</v>
      </c>
      <c r="F29" s="142">
        <v>888640.43</v>
      </c>
      <c r="G29" s="142">
        <v>888640.43</v>
      </c>
      <c r="H29" s="141">
        <v>0</v>
      </c>
      <c r="I29" s="141">
        <v>0</v>
      </c>
    </row>
    <row r="30" spans="2:9" x14ac:dyDescent="0.25">
      <c r="B30" s="141" t="s">
        <v>303</v>
      </c>
      <c r="C30" s="141">
        <v>0</v>
      </c>
      <c r="D30" s="141">
        <v>0</v>
      </c>
      <c r="E30" s="141">
        <v>0</v>
      </c>
      <c r="F30" s="142">
        <v>1460985.81</v>
      </c>
      <c r="G30" s="142">
        <v>1460985.79</v>
      </c>
      <c r="H30" s="141">
        <v>0</v>
      </c>
      <c r="I30" s="141">
        <v>0.02</v>
      </c>
    </row>
    <row r="31" spans="2:9" x14ac:dyDescent="0.25">
      <c r="B31" s="141" t="s">
        <v>304</v>
      </c>
      <c r="C31" s="141">
        <v>0</v>
      </c>
      <c r="D31" s="141">
        <v>0</v>
      </c>
      <c r="E31" s="141">
        <v>0</v>
      </c>
      <c r="F31" s="142">
        <v>3200699.21</v>
      </c>
      <c r="G31" s="142">
        <v>3200699.2</v>
      </c>
      <c r="H31" s="141">
        <v>0</v>
      </c>
      <c r="I31" s="141">
        <v>0.01</v>
      </c>
    </row>
    <row r="32" spans="2:9" x14ac:dyDescent="0.25">
      <c r="B32" s="144" t="s">
        <v>305</v>
      </c>
      <c r="C32" s="145">
        <v>103844282</v>
      </c>
      <c r="D32" s="145">
        <v>103844282</v>
      </c>
      <c r="E32" s="145">
        <v>102097012.68000001</v>
      </c>
      <c r="F32" s="145">
        <v>135916672.53</v>
      </c>
      <c r="G32" s="145">
        <v>121082513.78</v>
      </c>
      <c r="H32" s="144">
        <v>0</v>
      </c>
      <c r="I32" s="145">
        <v>14834158.75</v>
      </c>
    </row>
    <row r="33" spans="2:9" x14ac:dyDescent="0.25">
      <c r="B33" s="144" t="s">
        <v>306</v>
      </c>
      <c r="C33" s="145">
        <v>103844282</v>
      </c>
      <c r="D33" s="145">
        <v>103844282</v>
      </c>
      <c r="E33" s="145">
        <v>102097012.68000001</v>
      </c>
      <c r="F33" s="145">
        <v>135916672.53</v>
      </c>
      <c r="G33" s="145">
        <v>121082513.78</v>
      </c>
      <c r="H33" s="144">
        <v>0</v>
      </c>
      <c r="I33" s="145">
        <v>14834158.75</v>
      </c>
    </row>
    <row r="34" spans="2:9" x14ac:dyDescent="0.25">
      <c r="B34" s="141"/>
      <c r="C34" s="141"/>
      <c r="D34" s="141"/>
      <c r="E34" s="141"/>
      <c r="F34" s="141"/>
      <c r="G34" s="141"/>
      <c r="H34" s="141"/>
      <c r="I34" s="1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Base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OJuanJose</dc:creator>
  <cp:lastModifiedBy>OJuanJose</cp:lastModifiedBy>
  <cp:lastPrinted>2012-10-11T19:56:02Z</cp:lastPrinted>
  <dcterms:created xsi:type="dcterms:W3CDTF">2012-08-28T22:00:06Z</dcterms:created>
  <dcterms:modified xsi:type="dcterms:W3CDTF">2012-10-11T19:58:56Z</dcterms:modified>
</cp:coreProperties>
</file>