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N:\DIyE\2017\Oficios\DI&amp;E\"/>
    </mc:Choice>
  </mc:AlternateContent>
  <bookViews>
    <workbookView xWindow="0" yWindow="0" windowWidth="28800" windowHeight="13485"/>
  </bookViews>
  <sheets>
    <sheet name="AudCtrl_Detención" sheetId="1" r:id="rId1"/>
    <sheet name="Aud_FrmlImpCmp" sheetId="2" r:id="rId2"/>
    <sheet name="Aud_FrmlImpOrdAmp" sheetId="3" r:id="rId3"/>
    <sheet name="Aud_VncPrcss" sheetId="4" r:id="rId4"/>
    <sheet name="Aud_ExcImpMddCautelar" sheetId="5" r:id="rId5"/>
  </sheets>
  <definedNames>
    <definedName name="_xlnm.Print_Area" localSheetId="4">Aud_ExcImpMddCautelar!$A$1:$BO$56</definedName>
    <definedName name="_xlnm.Print_Area" localSheetId="1">Aud_FrmlImpCmp!$A$1:$BO$56</definedName>
    <definedName name="_xlnm.Print_Area" localSheetId="2">Aud_FrmlImpOrdAmp!$A$1:$BO$57</definedName>
    <definedName name="_xlnm.Print_Area" localSheetId="3">Aud_VncPrcss!$A$1:$BO$56</definedName>
    <definedName name="_xlnm.Print_Area" localSheetId="0">AudCtrl_Detención!$A$1:$BO$56</definedName>
    <definedName name="_xlnm.Print_Titles" localSheetId="4">Aud_ExcImpMddCautelar!$A:$A,Aud_ExcImpMddCautelar!$1:$6</definedName>
    <definedName name="_xlnm.Print_Titles" localSheetId="1">Aud_FrmlImpCmp!$A:$A,Aud_FrmlImpCmp!$1:$6</definedName>
    <definedName name="_xlnm.Print_Titles" localSheetId="2">Aud_FrmlImpOrdAmp!$A:$A,Aud_FrmlImpOrdAmp!$1:$6</definedName>
    <definedName name="_xlnm.Print_Titles" localSheetId="3">Aud_VncPrcss!$A:$A,Aud_VncPrcss!$1:$6</definedName>
    <definedName name="_xlnm.Print_Titles" localSheetId="0">AudCtrl_Detención!$A:$A,AudCtrl_Detención!$1:$6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30" i="5" l="1"/>
  <c r="BO30" i="4"/>
  <c r="BO30" i="3"/>
  <c r="BO30" i="2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56" i="5"/>
  <c r="BO7" i="5"/>
  <c r="BO9" i="5"/>
  <c r="BO10" i="5"/>
  <c r="BO11" i="5"/>
  <c r="BO12" i="5"/>
  <c r="BO13" i="5"/>
  <c r="BO14" i="5"/>
  <c r="BO15" i="5"/>
  <c r="BO16" i="5"/>
  <c r="BO17" i="5"/>
  <c r="BO18" i="5"/>
  <c r="BO19" i="5"/>
  <c r="BO20" i="5"/>
  <c r="BO21" i="5"/>
  <c r="BO23" i="5"/>
  <c r="BO24" i="5"/>
  <c r="BO25" i="5"/>
  <c r="BO26" i="5"/>
  <c r="BO27" i="5"/>
  <c r="BO28" i="5"/>
  <c r="BO29" i="5"/>
  <c r="BO31" i="5"/>
  <c r="BO32" i="5"/>
  <c r="BO33" i="5"/>
  <c r="BO34" i="5"/>
  <c r="BO35" i="5"/>
  <c r="BO36" i="5"/>
  <c r="BO37" i="5"/>
  <c r="BO38" i="5"/>
  <c r="BO39" i="5"/>
  <c r="BO40" i="5"/>
  <c r="BO41" i="5"/>
  <c r="BO43" i="5"/>
  <c r="BO44" i="5"/>
  <c r="BO45" i="5"/>
  <c r="BO46" i="5"/>
  <c r="BO47" i="5"/>
  <c r="BO48" i="5"/>
  <c r="BO49" i="5"/>
  <c r="BO50" i="5"/>
  <c r="BO51" i="5"/>
  <c r="BO52" i="5"/>
  <c r="BO53" i="5"/>
  <c r="BO54" i="5"/>
  <c r="BO55" i="5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BI56" i="4"/>
  <c r="BJ56" i="4"/>
  <c r="BK56" i="4"/>
  <c r="BL56" i="4"/>
  <c r="BM56" i="4"/>
  <c r="BN56" i="4"/>
  <c r="B56" i="4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57" i="3"/>
  <c r="BO8" i="3"/>
  <c r="BO9" i="3"/>
  <c r="BO10" i="3"/>
  <c r="BO11" i="3"/>
  <c r="BO18" i="3"/>
  <c r="BO24" i="3"/>
  <c r="BO25" i="3"/>
  <c r="BO28" i="3"/>
  <c r="BO40" i="3"/>
  <c r="BO42" i="3"/>
  <c r="BO46" i="3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56" i="2"/>
  <c r="BO7" i="2"/>
  <c r="BO12" i="2"/>
  <c r="BO14" i="2"/>
  <c r="BO20" i="2"/>
  <c r="BO21" i="2"/>
  <c r="BO23" i="2"/>
  <c r="BO24" i="2"/>
  <c r="BO29" i="2"/>
  <c r="BO35" i="2"/>
  <c r="BO36" i="2"/>
  <c r="BO40" i="2"/>
  <c r="BO55" i="2"/>
  <c r="BO8" i="2"/>
  <c r="BO9" i="2"/>
  <c r="BO10" i="2"/>
  <c r="BO11" i="2"/>
  <c r="BO13" i="2"/>
  <c r="BO15" i="2"/>
  <c r="BO16" i="2"/>
  <c r="BO17" i="2"/>
  <c r="BO18" i="2"/>
  <c r="BO19" i="2"/>
  <c r="BO22" i="2"/>
  <c r="BO25" i="2"/>
  <c r="BO26" i="2"/>
  <c r="BO27" i="2"/>
  <c r="BO28" i="2"/>
  <c r="BO31" i="2"/>
  <c r="BO32" i="2"/>
  <c r="BO33" i="2"/>
  <c r="BO34" i="2"/>
  <c r="BO37" i="2"/>
  <c r="BO38" i="2"/>
  <c r="BO39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20" i="1"/>
  <c r="BO27" i="1"/>
  <c r="BO46" i="1"/>
  <c r="BO49" i="1"/>
  <c r="BO52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1" i="1"/>
  <c r="BO22" i="1"/>
  <c r="BO23" i="1"/>
  <c r="BO24" i="1"/>
  <c r="BO25" i="1"/>
  <c r="BO26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7" i="1"/>
  <c r="BO48" i="1"/>
  <c r="BO50" i="1"/>
  <c r="BO51" i="1"/>
  <c r="BO53" i="1"/>
  <c r="BO54" i="1"/>
  <c r="BO55" i="1"/>
  <c r="BO7" i="1"/>
  <c r="BO22" i="5"/>
  <c r="BO42" i="5"/>
  <c r="BO8" i="5"/>
  <c r="BO8" i="4"/>
  <c r="BO9" i="4"/>
  <c r="BO10" i="4"/>
  <c r="BO11" i="4"/>
  <c r="BO12" i="4"/>
  <c r="BO13" i="4"/>
  <c r="BO14" i="4"/>
  <c r="BO15" i="4"/>
  <c r="BO16" i="4"/>
  <c r="BO17" i="4"/>
  <c r="BO18" i="4"/>
  <c r="BO19" i="4"/>
  <c r="BO20" i="4"/>
  <c r="BO21" i="4"/>
  <c r="BO22" i="4"/>
  <c r="BO23" i="4"/>
  <c r="BO24" i="4"/>
  <c r="BO25" i="4"/>
  <c r="BO26" i="4"/>
  <c r="BO27" i="4"/>
  <c r="BO28" i="4"/>
  <c r="BO29" i="4"/>
  <c r="BO31" i="4"/>
  <c r="BO32" i="4"/>
  <c r="BO33" i="4"/>
  <c r="BO34" i="4"/>
  <c r="BO35" i="4"/>
  <c r="BO36" i="4"/>
  <c r="BO37" i="4"/>
  <c r="BO38" i="4"/>
  <c r="BO39" i="4"/>
  <c r="BO40" i="4"/>
  <c r="BO41" i="4"/>
  <c r="BO42" i="4"/>
  <c r="BO43" i="4"/>
  <c r="BO44" i="4"/>
  <c r="BO45" i="4"/>
  <c r="BO46" i="4"/>
  <c r="BO47" i="4"/>
  <c r="BO48" i="4"/>
  <c r="BO49" i="4"/>
  <c r="BO50" i="4"/>
  <c r="BO51" i="4"/>
  <c r="BO52" i="4"/>
  <c r="BO53" i="4"/>
  <c r="BO54" i="4"/>
  <c r="BO55" i="4"/>
  <c r="BO7" i="4"/>
  <c r="BO12" i="3"/>
  <c r="BO13" i="3"/>
  <c r="BO14" i="3"/>
  <c r="BO15" i="3"/>
  <c r="BO16" i="3"/>
  <c r="BO17" i="3"/>
  <c r="BO19" i="3"/>
  <c r="BO20" i="3"/>
  <c r="BO21" i="3"/>
  <c r="BO22" i="3"/>
  <c r="BO23" i="3"/>
  <c r="BO26" i="3"/>
  <c r="BO27" i="3"/>
  <c r="BO29" i="3"/>
  <c r="BO31" i="3"/>
  <c r="BO32" i="3"/>
  <c r="BO33" i="3"/>
  <c r="BO34" i="3"/>
  <c r="BO35" i="3"/>
  <c r="BO36" i="3"/>
  <c r="BO37" i="3"/>
  <c r="BO38" i="3"/>
  <c r="BO39" i="3"/>
  <c r="BO41" i="3"/>
  <c r="BO43" i="3"/>
  <c r="BO44" i="3"/>
  <c r="BO45" i="3"/>
  <c r="BO47" i="3"/>
  <c r="BO48" i="3"/>
  <c r="BO49" i="3"/>
  <c r="BO50" i="3"/>
  <c r="BO51" i="3"/>
  <c r="BO52" i="3"/>
  <c r="BO53" i="3"/>
  <c r="BO54" i="3"/>
  <c r="BO55" i="3"/>
  <c r="BO56" i="3"/>
  <c r="BO7" i="3"/>
  <c r="BO56" i="5" l="1"/>
  <c r="BO56" i="4"/>
  <c r="BO57" i="3"/>
  <c r="BO56" i="2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</calcChain>
</file>

<file path=xl/sharedStrings.xml><?xml version="1.0" encoding="utf-8"?>
<sst xmlns="http://schemas.openxmlformats.org/spreadsheetml/2006/main" count="601" uniqueCount="124">
  <si>
    <t>Número de Audiencias Celebradas de Control de Detención por Delito</t>
  </si>
  <si>
    <t>Periodo: del 1 de enero de 2012 al 31 de mayo de 2017</t>
  </si>
  <si>
    <t>Consulta: 23 de junio de 2017</t>
  </si>
  <si>
    <t>Total</t>
  </si>
  <si>
    <t>Delito</t>
  </si>
  <si>
    <t>ene-12</t>
  </si>
  <si>
    <t>feb-12</t>
  </si>
  <si>
    <t>mar-12</t>
  </si>
  <si>
    <t>abr-12</t>
  </si>
  <si>
    <t>may-12</t>
  </si>
  <si>
    <t>jun-12</t>
  </si>
  <si>
    <t>jul-12</t>
  </si>
  <si>
    <t>ago-12</t>
  </si>
  <si>
    <t>sep-12</t>
  </si>
  <si>
    <t>oct-12</t>
  </si>
  <si>
    <t>nov-12</t>
  </si>
  <si>
    <t>dic-12</t>
  </si>
  <si>
    <t>ene-13</t>
  </si>
  <si>
    <t>feb-13</t>
  </si>
  <si>
    <t>mar-13</t>
  </si>
  <si>
    <t>abr-13</t>
  </si>
  <si>
    <t>may-13</t>
  </si>
  <si>
    <t>jun-13</t>
  </si>
  <si>
    <t>jul-13</t>
  </si>
  <si>
    <t>ago-13</t>
  </si>
  <si>
    <t>sep-13</t>
  </si>
  <si>
    <t>oct-13</t>
  </si>
  <si>
    <t>nov-13</t>
  </si>
  <si>
    <t>dic-13</t>
  </si>
  <si>
    <t>ene-14</t>
  </si>
  <si>
    <t>feb-14</t>
  </si>
  <si>
    <t>mar-14</t>
  </si>
  <si>
    <t>abr-14</t>
  </si>
  <si>
    <t>may-14</t>
  </si>
  <si>
    <t>jun-14</t>
  </si>
  <si>
    <t>jul-14</t>
  </si>
  <si>
    <t>ago-14</t>
  </si>
  <si>
    <t>sep-14</t>
  </si>
  <si>
    <t>oct-14</t>
  </si>
  <si>
    <t>nov-14</t>
  </si>
  <si>
    <t>dic-14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</si>
  <si>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</si>
  <si>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</si>
  <si>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</si>
  <si>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</si>
  <si>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</si>
  <si>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</si>
  <si>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</si>
  <si>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</si>
  <si>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</si>
  <si>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</si>
  <si>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</si>
  <si>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</si>
  <si>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</si>
  <si>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</si>
  <si>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</si>
  <si>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</si>
  <si>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</si>
  <si>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</si>
  <si>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</si>
  <si>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</si>
  <si>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</si>
  <si>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</si>
  <si>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</si>
  <si>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</si>
  <si>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</si>
  <si>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</si>
  <si>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</si>
  <si>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</si>
  <si>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</si>
  <si>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Abuso sexual</t>
  </si>
  <si>
    <t>Delitos contra la salud en su modalidad de narcomenudeo, hipótesis de comercializar o suministrar, aun gratuitamente, narcóticos previstos en la tabla, con modificativa de ser cometido en centros educativos, asistenciales, policiales o de reclusión o dentro de un espacio comprendido en un radio que diste a menos de trescientos metros de los límites de colindancia del mismo con quienes a ellos acudan</t>
  </si>
  <si>
    <t>Delitos contra la salud en su modalidad de narcomenudeo, hipótesis de comercializar o suministrar, aun gratuitamente, narcóticos previstos en la tabla. (artículo 475, párrafo primero de la ley general de salud)</t>
  </si>
  <si>
    <t>Delitos contra la salud en su modalidad de narcomenudeo, hipótesis de poseer algún narcótico señalados en la tabla, siempre que no sea con la finalidad de comerciarlos o suministrarlos aun gratuitamente (artículo 477 de la ley general de salud)</t>
  </si>
  <si>
    <t>Delitos contra la salud en su modalidad de narcomenudeo, hipótesis de poseer algún narcótico señalados en la tabla, siempre que sea con la finalidad de comerciarlos o suministrarlos aun gratuitamente (artículo 476 de la ley general de salud)</t>
  </si>
  <si>
    <t>Extorsión</t>
  </si>
  <si>
    <t>Extorsión complementación típica con punibilidad autónoma</t>
  </si>
  <si>
    <t>Homicidio</t>
  </si>
  <si>
    <t>Homicidio calificado</t>
  </si>
  <si>
    <t>Homicidio de dos o más personas, en el mismo o en distintos hechos</t>
  </si>
  <si>
    <t>Homicidio en razón del parentesco</t>
  </si>
  <si>
    <t>Homicidio en riña o duelo</t>
  </si>
  <si>
    <t>Homicidio simple</t>
  </si>
  <si>
    <t>Lesiones</t>
  </si>
  <si>
    <t>Lesiones con modificativa agravante por razón de genero</t>
  </si>
  <si>
    <t>Robo</t>
  </si>
  <si>
    <t>Robo cometido a escuelas e inmuebles destinados a actividades educativas</t>
  </si>
  <si>
    <t>Robo cometido cuando se aprovecha la falta de vigilancia o confusión ocasionado por un siniestro o un desorden</t>
  </si>
  <si>
    <t>Robo cometido en medios de transporte público de pasajeros y se utilice en su ejecución la violencia</t>
  </si>
  <si>
    <t>Robo cometido por un dependiente o doméstico</t>
  </si>
  <si>
    <t>Robo con violencia</t>
  </si>
  <si>
    <t>Robo de expedientes o documentos de protocolo</t>
  </si>
  <si>
    <t>Robo de la mercancía transportada a bordo de un vehículo automotor</t>
  </si>
  <si>
    <t>Robo de la mercancía transportada a bordo de un vehículo automotor y con violencia</t>
  </si>
  <si>
    <t>Robo de un vehículo automotor</t>
  </si>
  <si>
    <t>Robo de un vehículo automotor y con violencia</t>
  </si>
  <si>
    <t>Robo en el interior de casa habitación</t>
  </si>
  <si>
    <t>Robo en el interior de casa habitación y se utilice violencia</t>
  </si>
  <si>
    <t>Robo en interior de vehículo automotor o recaiga sobre una o más de las partes que lo conforman</t>
  </si>
  <si>
    <t>Robo en interior de vehículo automotor o recaiga sobre una o más partes que lo conforman y se ejecute con violencia</t>
  </si>
  <si>
    <t>Robo en lugar cerrado</t>
  </si>
  <si>
    <t>Robo equiparado</t>
  </si>
  <si>
    <t>Robo que cause la muerte</t>
  </si>
  <si>
    <t>Robo simple</t>
  </si>
  <si>
    <t>Secuestro</t>
  </si>
  <si>
    <t>Secuestro con modificativa de agravante</t>
  </si>
  <si>
    <t>Secuestro con privación de la vida</t>
  </si>
  <si>
    <t>Violación</t>
  </si>
  <si>
    <t>Violación cometida en un vehículo de transporte público de pasajeros, personal o escolar</t>
  </si>
  <si>
    <t>Violación cometida por uno de los cónyuges, ascendiente contra su descendiente, por este contra aquel, por un hermano contra otro, por el tutor en contra de su pupilo, o por el padrastro, madrastra, concubina, concubinario, amasio o amasia</t>
  </si>
  <si>
    <t>Violación cuando el ofendido sea menor de quince o mayor de setenta años</t>
  </si>
  <si>
    <t>Violación en contra de quien tenga alguna discapacidad</t>
  </si>
  <si>
    <t>Violación equiparada</t>
  </si>
  <si>
    <t>Violencia familiar</t>
  </si>
  <si>
    <t>Incumplimiento de obligaciones</t>
  </si>
  <si>
    <t>Robo cometido por trabajadores, encargados de empresas o establecimientos comerciales</t>
  </si>
  <si>
    <t>Violación cometida por quien desempeñe un empleo, cargo o comisión públicos o ejerza una profesión</t>
  </si>
  <si>
    <t>Violación cometida por quien tenga o haya tenido una relación con la victima por motivos laborales, docentes, médicos, domésticos, religiosos</t>
  </si>
  <si>
    <t>Violación cuando participen dos o más personas</t>
  </si>
  <si>
    <t>Secuestro simulado</t>
  </si>
  <si>
    <t>Número de Audiencias Celebradas de Vinculación a Proceso por Delito</t>
  </si>
  <si>
    <t>Número de Audiencias Celebradas Exclusivamente para la Imposición de Medidas Cautelares por Delito</t>
  </si>
  <si>
    <t>Número de Audiencias Celebradas de Formulación de Imputación en las que el Imputado se Presentó por Citatorio de acuerdo al Delito</t>
  </si>
  <si>
    <t>Número de Audiencias Celebradas de Formulación de Imputación en las que el Imputado se Presentó por Orden de Aprehensión de acuerdo al Delito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</si>
</sst>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justify" vertical="center" wrapText="1"/>
    </xf>
    <xf numFmtId="41" fontId="0" fillId="0" borderId="0" xfId="0" applyNumberFormat="1" applyAlignment="1">
      <alignment vertical="center"/>
    </xf>
    <xf numFmtId="0" fontId="1" fillId="0" borderId="1" xfId="0" applyFont="1" applyFill="1" applyBorder="1" applyAlignment="1">
      <alignment vertical="center"/>
    </xf>
    <xf numFmtId="1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687"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justify" vertical="center" textRotation="0" wrapText="1" indent="0" justifyLastLine="0" shrinkToFit="0" readingOrder="0"/>
    </dxf>
    <dxf>
      <alignment vertical="center" textRotation="0" wrapText="0" indent="0" justifyLastLine="0" shrinkToFit="0" readingOrder="0"/>
    </dxf>
    <dxf>
      <numFmt numFmtId="164" formatCode="mmm\-\a\a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justify" vertical="center" textRotation="0" wrapText="1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justify" vertical="center" textRotation="0" wrapText="1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numFmt numFmtId="33" formatCode="_-* #,##0_-;\-* #,##0_-;_-* &quot;-&quot;_-;_-@_-"/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justify" vertical="center" textRotation="0" wrapText="1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numFmt numFmtId="33" formatCode="_-* #,##0_-;\-* #,##0_-;_-* &quot;-&quot;_-;_-@_-"/>
      <alignment horizontal="general" vertical="center" textRotation="0" wrapText="0" indent="0" justifyLastLine="0" shrinkToFit="0" readingOrder="0"/>
    </dxf>
    <dxf>
      <alignment horizontal="justify" vertical="center" textRotation="0" wrapText="1" indent="0" justifyLastLine="0" shrinkToFit="0" readingOrder="0"/>
    </dxf>
    <dxf>
      <alignment horizontal="justify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a1" displayName="Tabla1" ref="A6:BO56" totalsRowCount="1" headerRowDxfId="686" dataDxfId="684" headerRowBorderDxfId="685">
  <autoFilter ref="A6:BO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</autoFilter>
  <sortState ref="A7:BO56">
    <sortCondition ref="A6:A56"/>
  </sortState>
  <tableColumns count="67">
    <tableColumn id="1" name="Delito" totalsRowLabel="Total" dataDxfId="683" totalsRowDxfId="682"/>
    <tableColumn id="2" name="ene-12" totalsRowFunction="sum" dataDxfId="681" totalsRowDxfId="680"/>
    <tableColumn id="3" name="feb-12" totalsRowFunction="sum" dataDxfId="679" totalsRowDxfId="678"/>
    <tableColumn id="4" name="mar-12" totalsRowFunction="sum" dataDxfId="677" totalsRowDxfId="676"/>
    <tableColumn id="5" name="abr-12" totalsRowFunction="sum" dataDxfId="675" totalsRowDxfId="674"/>
    <tableColumn id="6" name="may-12" totalsRowFunction="sum" dataDxfId="673" totalsRowDxfId="672"/>
    <tableColumn id="7" name="jun-12" totalsRowFunction="sum" dataDxfId="671" totalsRowDxfId="670"/>
    <tableColumn id="8" name="jul-12" totalsRowFunction="sum" dataDxfId="669" totalsRowDxfId="668"/>
    <tableColumn id="9" name="ago-12" totalsRowFunction="sum" dataDxfId="667" totalsRowDxfId="666"/>
    <tableColumn id="10" name="sep-12" totalsRowFunction="sum" dataDxfId="665" totalsRowDxfId="664"/>
    <tableColumn id="11" name="oct-12" totalsRowFunction="sum" dataDxfId="663" totalsRowDxfId="662"/>
    <tableColumn id="12" name="nov-12" totalsRowFunction="sum" dataDxfId="661" totalsRowDxfId="660"/>
    <tableColumn id="13" name="dic-12" totalsRowFunction="sum" dataDxfId="659" totalsRowDxfId="658"/>
    <tableColumn id="14" name="ene-13" totalsRowFunction="sum" dataDxfId="657" totalsRowDxfId="656"/>
    <tableColumn id="15" name="feb-13" totalsRowFunction="sum" dataDxfId="655" totalsRowDxfId="654"/>
    <tableColumn id="16" name="mar-13" totalsRowFunction="sum" dataDxfId="653" totalsRowDxfId="652"/>
    <tableColumn id="17" name="abr-13" totalsRowFunction="sum" dataDxfId="651" totalsRowDxfId="650"/>
    <tableColumn id="18" name="may-13" totalsRowFunction="sum" dataDxfId="649" totalsRowDxfId="648"/>
    <tableColumn id="19" name="jun-13" totalsRowFunction="sum" dataDxfId="647" totalsRowDxfId="646"/>
    <tableColumn id="20" name="jul-13" totalsRowFunction="sum" dataDxfId="645" totalsRowDxfId="644"/>
    <tableColumn id="21" name="ago-13" totalsRowFunction="sum" dataDxfId="643" totalsRowDxfId="642"/>
    <tableColumn id="22" name="sep-13" totalsRowFunction="sum" dataDxfId="641" totalsRowDxfId="640"/>
    <tableColumn id="23" name="oct-13" totalsRowFunction="sum" dataDxfId="639" totalsRowDxfId="638"/>
    <tableColumn id="24" name="nov-13" totalsRowFunction="sum" dataDxfId="637" totalsRowDxfId="636"/>
    <tableColumn id="25" name="dic-13" totalsRowFunction="sum" dataDxfId="635" totalsRowDxfId="634"/>
    <tableColumn id="26" name="ene-14" totalsRowFunction="sum" dataDxfId="633" totalsRowDxfId="632"/>
    <tableColumn id="27" name="feb-14" totalsRowFunction="sum" dataDxfId="631" totalsRowDxfId="630"/>
    <tableColumn id="28" name="mar-14" totalsRowFunction="sum" dataDxfId="629" totalsRowDxfId="628"/>
    <tableColumn id="29" name="abr-14" totalsRowFunction="sum" dataDxfId="627" totalsRowDxfId="626"/>
    <tableColumn id="30" name="may-14" totalsRowFunction="sum" dataDxfId="625" totalsRowDxfId="624"/>
    <tableColumn id="31" name="jun-14" totalsRowFunction="sum" dataDxfId="623" totalsRowDxfId="622"/>
    <tableColumn id="32" name="jul-14" totalsRowFunction="sum" dataDxfId="621" totalsRowDxfId="620"/>
    <tableColumn id="33" name="ago-14" totalsRowFunction="sum" dataDxfId="619" totalsRowDxfId="618"/>
    <tableColumn id="34" name="sep-14" totalsRowFunction="sum" dataDxfId="617" totalsRowDxfId="616"/>
    <tableColumn id="35" name="oct-14" totalsRowFunction="sum" dataDxfId="615" totalsRowDxfId="614"/>
    <tableColumn id="36" name="nov-14" totalsRowFunction="sum" dataDxfId="613" totalsRowDxfId="612"/>
    <tableColumn id="37" name="dic-14" totalsRowFunction="sum" dataDxfId="611" totalsRowDxfId="610"/>
    <tableColumn id="38" name="ene-15" totalsRowFunction="sum" dataDxfId="609" totalsRowDxfId="608"/>
    <tableColumn id="39" name="feb-15" totalsRowFunction="sum" dataDxfId="607" totalsRowDxfId="606"/>
    <tableColumn id="40" name="mar-15" totalsRowFunction="sum" dataDxfId="605" totalsRowDxfId="604"/>
    <tableColumn id="41" name="abr-15" totalsRowFunction="sum" dataDxfId="603" totalsRowDxfId="602"/>
    <tableColumn id="42" name="may-15" totalsRowFunction="sum" dataDxfId="601" totalsRowDxfId="600"/>
    <tableColumn id="43" name="jun-15" totalsRowFunction="sum" dataDxfId="599" totalsRowDxfId="598"/>
    <tableColumn id="44" name="jul-15" totalsRowFunction="sum" dataDxfId="597" totalsRowDxfId="596"/>
    <tableColumn id="45" name="ago-15" totalsRowFunction="sum" dataDxfId="595" totalsRowDxfId="594"/>
    <tableColumn id="46" name="sep-15" totalsRowFunction="sum" dataDxfId="593" totalsRowDxfId="592"/>
    <tableColumn id="47" name="oct-15" totalsRowFunction="sum" dataDxfId="591" totalsRowDxfId="590"/>
    <tableColumn id="48" name="nov-15" totalsRowFunction="sum" dataDxfId="589" totalsRowDxfId="588"/>
    <tableColumn id="49" name="dic-15" totalsRowFunction="sum" dataDxfId="587" totalsRowDxfId="586"/>
    <tableColumn id="50" name="ene-16" totalsRowFunction="sum" dataDxfId="585" totalsRowDxfId="584"/>
    <tableColumn id="51" name="feb-16" totalsRowFunction="sum" dataDxfId="583" totalsRowDxfId="582"/>
    <tableColumn id="52" name="mar-16" totalsRowFunction="sum" dataDxfId="581" totalsRowDxfId="580"/>
    <tableColumn id="53" name="abr-16" totalsRowFunction="sum" dataDxfId="579" totalsRowDxfId="578"/>
    <tableColumn id="54" name="may-16" totalsRowFunction="sum" dataDxfId="577" totalsRowDxfId="576"/>
    <tableColumn id="55" name="jun-16" totalsRowFunction="sum" dataDxfId="575" totalsRowDxfId="574"/>
    <tableColumn id="56" name="jul-16" totalsRowFunction="sum" dataDxfId="573" totalsRowDxfId="572"/>
    <tableColumn id="57" name="ago-16" totalsRowFunction="sum" dataDxfId="571" totalsRowDxfId="570"/>
    <tableColumn id="58" name="sep-16" totalsRowFunction="sum" dataDxfId="569" totalsRowDxfId="568"/>
    <tableColumn id="59" name="oct-16" totalsRowFunction="sum" dataDxfId="567" totalsRowDxfId="566"/>
    <tableColumn id="60" name="nov-16" totalsRowFunction="sum" dataDxfId="565" totalsRowDxfId="564"/>
    <tableColumn id="61" name="dic-16" totalsRowFunction="sum" dataDxfId="563" totalsRowDxfId="562"/>
    <tableColumn id="62" name="ene-17" totalsRowFunction="sum" dataDxfId="561" totalsRowDxfId="560"/>
    <tableColumn id="63" name="feb-17" totalsRowFunction="sum" dataDxfId="559" totalsRowDxfId="558"/>
    <tableColumn id="64" name="mar-17" totalsRowFunction="sum" dataDxfId="557" totalsRowDxfId="556"/>
    <tableColumn id="65" name="abr-17" totalsRowFunction="sum" dataDxfId="555" totalsRowDxfId="554"/>
    <tableColumn id="66" name="may-17" totalsRowFunction="sum" dataDxfId="553" totalsRowDxfId="552"/>
    <tableColumn id="67" name="Total" totalsRowFunction="sum" dataDxfId="551" totalsRowDxfId="550"/>
  </tableColumns>
  <tableStyleInfo name="TableStyleLight9" showFirstColumn="0" showLastColumn="1" showRowStripes="1" showColumnStripes="0"/>
</table>
</file>

<file path=xl/tables/table2.xml><?xml version="1.0" encoding="utf-8"?>
<table xmlns="http://schemas.openxmlformats.org/spreadsheetml/2006/main" id="2" name="Tabla2" displayName="Tabla2" ref="A6:BO56" totalsRowCount="1" headerRowDxfId="549" dataDxfId="547" totalsRowDxfId="546" headerRowBorderDxfId="548">
  <autoFilter ref="A6:BO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</autoFilter>
  <sortState ref="A7:BO55">
    <sortCondition ref="A6:A55"/>
  </sortState>
  <tableColumns count="67">
    <tableColumn id="1" name="Delito" totalsRowLabel="Total" dataDxfId="545" totalsRowDxfId="544"/>
    <tableColumn id="2" name="ene-12" totalsRowFunction="sum" dataDxfId="543" totalsRowDxfId="542"/>
    <tableColumn id="3" name="feb-12" totalsRowFunction="sum" dataDxfId="541" totalsRowDxfId="540"/>
    <tableColumn id="4" name="mar-12" totalsRowFunction="sum" dataDxfId="539" totalsRowDxfId="538"/>
    <tableColumn id="5" name="abr-12" totalsRowFunction="sum" dataDxfId="537" totalsRowDxfId="536"/>
    <tableColumn id="6" name="may-12" totalsRowFunction="sum" dataDxfId="535" totalsRowDxfId="534"/>
    <tableColumn id="7" name="jun-12" totalsRowFunction="sum" dataDxfId="533" totalsRowDxfId="532"/>
    <tableColumn id="8" name="jul-12" totalsRowFunction="sum" dataDxfId="531" totalsRowDxfId="530"/>
    <tableColumn id="9" name="ago-12" totalsRowFunction="sum" dataDxfId="529" totalsRowDxfId="528"/>
    <tableColumn id="10" name="sep-12" totalsRowFunction="sum" dataDxfId="527" totalsRowDxfId="526"/>
    <tableColumn id="11" name="oct-12" totalsRowFunction="sum" dataDxfId="525" totalsRowDxfId="524"/>
    <tableColumn id="12" name="nov-12" totalsRowFunction="sum" dataDxfId="523" totalsRowDxfId="522"/>
    <tableColumn id="13" name="dic-12" totalsRowFunction="sum" dataDxfId="521" totalsRowDxfId="520"/>
    <tableColumn id="14" name="ene-13" totalsRowFunction="sum" dataDxfId="519" totalsRowDxfId="518"/>
    <tableColumn id="15" name="feb-13" totalsRowFunction="sum" dataDxfId="517" totalsRowDxfId="516"/>
    <tableColumn id="16" name="mar-13" totalsRowFunction="sum" dataDxfId="515" totalsRowDxfId="514"/>
    <tableColumn id="17" name="abr-13" totalsRowFunction="sum" dataDxfId="513" totalsRowDxfId="512"/>
    <tableColumn id="18" name="may-13" totalsRowFunction="sum" dataDxfId="511" totalsRowDxfId="510"/>
    <tableColumn id="19" name="jun-13" totalsRowFunction="sum" dataDxfId="509" totalsRowDxfId="508"/>
    <tableColumn id="20" name="jul-13" totalsRowFunction="sum" dataDxfId="507" totalsRowDxfId="506"/>
    <tableColumn id="21" name="ago-13" totalsRowFunction="sum" dataDxfId="505" totalsRowDxfId="504"/>
    <tableColumn id="22" name="sep-13" totalsRowFunction="sum" dataDxfId="503" totalsRowDxfId="502"/>
    <tableColumn id="23" name="oct-13" totalsRowFunction="sum" dataDxfId="501" totalsRowDxfId="500"/>
    <tableColumn id="24" name="nov-13" totalsRowFunction="sum" dataDxfId="499" totalsRowDxfId="498"/>
    <tableColumn id="25" name="dic-13" totalsRowFunction="sum" dataDxfId="497" totalsRowDxfId="496"/>
    <tableColumn id="26" name="ene-14" totalsRowFunction="sum" dataDxfId="495" totalsRowDxfId="494"/>
    <tableColumn id="27" name="feb-14" totalsRowFunction="sum" dataDxfId="493" totalsRowDxfId="492"/>
    <tableColumn id="28" name="mar-14" totalsRowFunction="sum" dataDxfId="491" totalsRowDxfId="490"/>
    <tableColumn id="29" name="abr-14" totalsRowFunction="sum" dataDxfId="489" totalsRowDxfId="488"/>
    <tableColumn id="30" name="may-14" totalsRowFunction="sum" dataDxfId="487" totalsRowDxfId="486"/>
    <tableColumn id="31" name="jun-14" totalsRowFunction="sum" dataDxfId="485" totalsRowDxfId="484"/>
    <tableColumn id="32" name="jul-14" totalsRowFunction="sum" dataDxfId="483" totalsRowDxfId="482"/>
    <tableColumn id="33" name="ago-14" totalsRowFunction="sum" dataDxfId="481" totalsRowDxfId="480"/>
    <tableColumn id="34" name="sep-14" totalsRowFunction="sum" dataDxfId="479" totalsRowDxfId="478"/>
    <tableColumn id="35" name="oct-14" totalsRowFunction="sum" dataDxfId="477" totalsRowDxfId="476"/>
    <tableColumn id="36" name="nov-14" totalsRowFunction="sum" dataDxfId="475" totalsRowDxfId="474"/>
    <tableColumn id="37" name="dic-14" totalsRowFunction="sum" dataDxfId="473" totalsRowDxfId="472"/>
    <tableColumn id="38" name="ene-15" totalsRowFunction="sum" dataDxfId="471" totalsRowDxfId="470"/>
    <tableColumn id="39" name="feb-15" totalsRowFunction="sum" dataDxfId="469" totalsRowDxfId="468"/>
    <tableColumn id="40" name="mar-15" totalsRowFunction="sum" dataDxfId="467" totalsRowDxfId="466"/>
    <tableColumn id="41" name="abr-15" totalsRowFunction="sum" dataDxfId="465" totalsRowDxfId="464"/>
    <tableColumn id="42" name="may-15" totalsRowFunction="sum" dataDxfId="463" totalsRowDxfId="462"/>
    <tableColumn id="43" name="jun-15" totalsRowFunction="sum" dataDxfId="461" totalsRowDxfId="460"/>
    <tableColumn id="44" name="jul-15" totalsRowFunction="sum" dataDxfId="459" totalsRowDxfId="458"/>
    <tableColumn id="45" name="ago-15" totalsRowFunction="sum" dataDxfId="457" totalsRowDxfId="456"/>
    <tableColumn id="46" name="sep-15" totalsRowFunction="sum" dataDxfId="455" totalsRowDxfId="454"/>
    <tableColumn id="47" name="oct-15" totalsRowFunction="sum" dataDxfId="453" totalsRowDxfId="452"/>
    <tableColumn id="48" name="nov-15" totalsRowFunction="sum" dataDxfId="451" totalsRowDxfId="450"/>
    <tableColumn id="49" name="dic-15" totalsRowFunction="sum" dataDxfId="449" totalsRowDxfId="448"/>
    <tableColumn id="50" name="ene-16" totalsRowFunction="sum" dataDxfId="447" totalsRowDxfId="446"/>
    <tableColumn id="51" name="feb-16" totalsRowFunction="sum" dataDxfId="445" totalsRowDxfId="444"/>
    <tableColumn id="52" name="mar-16" totalsRowFunction="sum" dataDxfId="443" totalsRowDxfId="442"/>
    <tableColumn id="53" name="abr-16" totalsRowFunction="sum" dataDxfId="441" totalsRowDxfId="440"/>
    <tableColumn id="54" name="may-16" totalsRowFunction="sum" dataDxfId="439" totalsRowDxfId="438"/>
    <tableColumn id="55" name="jun-16" totalsRowFunction="sum" dataDxfId="437" totalsRowDxfId="436"/>
    <tableColumn id="56" name="jul-16" totalsRowFunction="sum" dataDxfId="435" totalsRowDxfId="434"/>
    <tableColumn id="57" name="ago-16" totalsRowFunction="sum" dataDxfId="433" totalsRowDxfId="432"/>
    <tableColumn id="58" name="sep-16" totalsRowFunction="sum" dataDxfId="431" totalsRowDxfId="430"/>
    <tableColumn id="59" name="oct-16" totalsRowFunction="sum" dataDxfId="429" totalsRowDxfId="428"/>
    <tableColumn id="60" name="nov-16" totalsRowFunction="sum" dataDxfId="427" totalsRowDxfId="426"/>
    <tableColumn id="61" name="dic-16" totalsRowFunction="sum" dataDxfId="425" totalsRowDxfId="424"/>
    <tableColumn id="62" name="ene-17" totalsRowFunction="sum" dataDxfId="423" totalsRowDxfId="422"/>
    <tableColumn id="63" name="feb-17" totalsRowFunction="sum" dataDxfId="421" totalsRowDxfId="420"/>
    <tableColumn id="64" name="mar-17" totalsRowFunction="sum" dataDxfId="419" totalsRowDxfId="418"/>
    <tableColumn id="65" name="abr-17" totalsRowFunction="sum" dataDxfId="417" totalsRowDxfId="416"/>
    <tableColumn id="66" name="may-17" totalsRowFunction="sum" dataDxfId="415" totalsRowDxfId="414"/>
    <tableColumn id="67" name="Total" totalsRowFunction="sum" dataDxfId="413" totalsRowDxfId="412">
      <calculatedColumnFormula>SUM(Tabla2[[#This Row],[ene-12]:[may-17]])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A6:BO57" totalsRowCount="1" headerRowDxfId="411" dataDxfId="409" totalsRowDxfId="408" headerRowBorderDxfId="410">
  <autoFilter ref="A6:BO5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</autoFilter>
  <sortState ref="A7:BO56">
    <sortCondition ref="A6:A56"/>
  </sortState>
  <tableColumns count="67">
    <tableColumn id="1" name="Delito" totalsRowLabel="Total" dataDxfId="407" totalsRowDxfId="406"/>
    <tableColumn id="2" name="ene-12" totalsRowFunction="sum" dataDxfId="405" totalsRowDxfId="404"/>
    <tableColumn id="3" name="feb-12" totalsRowFunction="sum" dataDxfId="403" totalsRowDxfId="402"/>
    <tableColumn id="4" name="mar-12" totalsRowFunction="sum" dataDxfId="401" totalsRowDxfId="400"/>
    <tableColumn id="5" name="abr-12" totalsRowFunction="sum" dataDxfId="399" totalsRowDxfId="398"/>
    <tableColumn id="6" name="may-12" totalsRowFunction="sum" dataDxfId="397" totalsRowDxfId="396"/>
    <tableColumn id="7" name="jun-12" totalsRowFunction="sum" dataDxfId="395" totalsRowDxfId="394"/>
    <tableColumn id="8" name="jul-12" totalsRowFunction="sum" dataDxfId="393" totalsRowDxfId="392"/>
    <tableColumn id="9" name="ago-12" totalsRowFunction="sum" dataDxfId="391" totalsRowDxfId="390"/>
    <tableColumn id="10" name="sep-12" totalsRowFunction="sum" dataDxfId="389" totalsRowDxfId="388"/>
    <tableColumn id="11" name="oct-12" totalsRowFunction="sum" dataDxfId="387" totalsRowDxfId="386"/>
    <tableColumn id="12" name="nov-12" totalsRowFunction="sum" dataDxfId="385" totalsRowDxfId="384"/>
    <tableColumn id="13" name="dic-12" totalsRowFunction="sum" dataDxfId="383" totalsRowDxfId="382"/>
    <tableColumn id="14" name="ene-13" totalsRowFunction="sum" dataDxfId="381" totalsRowDxfId="380"/>
    <tableColumn id="15" name="feb-13" totalsRowFunction="sum" dataDxfId="379" totalsRowDxfId="378"/>
    <tableColumn id="16" name="mar-13" totalsRowFunction="sum" dataDxfId="377" totalsRowDxfId="376"/>
    <tableColumn id="17" name="abr-13" totalsRowFunction="sum" dataDxfId="375" totalsRowDxfId="374"/>
    <tableColumn id="18" name="may-13" totalsRowFunction="sum" dataDxfId="373" totalsRowDxfId="372"/>
    <tableColumn id="19" name="jun-13" totalsRowFunction="sum" dataDxfId="371" totalsRowDxfId="370"/>
    <tableColumn id="20" name="jul-13" totalsRowFunction="sum" dataDxfId="369" totalsRowDxfId="368"/>
    <tableColumn id="21" name="ago-13" totalsRowFunction="sum" dataDxfId="367" totalsRowDxfId="366"/>
    <tableColumn id="22" name="sep-13" totalsRowFunction="sum" dataDxfId="365" totalsRowDxfId="364"/>
    <tableColumn id="23" name="oct-13" totalsRowFunction="sum" dataDxfId="363" totalsRowDxfId="362"/>
    <tableColumn id="24" name="nov-13" totalsRowFunction="sum" dataDxfId="361" totalsRowDxfId="360"/>
    <tableColumn id="25" name="dic-13" totalsRowFunction="sum" dataDxfId="359" totalsRowDxfId="358"/>
    <tableColumn id="26" name="ene-14" totalsRowFunction="sum" dataDxfId="357" totalsRowDxfId="356"/>
    <tableColumn id="27" name="feb-14" totalsRowFunction="sum" dataDxfId="355" totalsRowDxfId="354"/>
    <tableColumn id="28" name="mar-14" totalsRowFunction="sum" dataDxfId="353" totalsRowDxfId="352"/>
    <tableColumn id="29" name="abr-14" totalsRowFunction="sum" dataDxfId="351" totalsRowDxfId="350"/>
    <tableColumn id="30" name="may-14" totalsRowFunction="sum" dataDxfId="349" totalsRowDxfId="348"/>
    <tableColumn id="31" name="jun-14" totalsRowFunction="sum" dataDxfId="347" totalsRowDxfId="346"/>
    <tableColumn id="32" name="jul-14" totalsRowFunction="sum" dataDxfId="345" totalsRowDxfId="344"/>
    <tableColumn id="33" name="ago-14" totalsRowFunction="sum" dataDxfId="343" totalsRowDxfId="342"/>
    <tableColumn id="34" name="sep-14" totalsRowFunction="sum" dataDxfId="341" totalsRowDxfId="340"/>
    <tableColumn id="35" name="oct-14" totalsRowFunction="sum" dataDxfId="339" totalsRowDxfId="338"/>
    <tableColumn id="36" name="nov-14" totalsRowFunction="sum" dataDxfId="337" totalsRowDxfId="336"/>
    <tableColumn id="37" name="dic-14" totalsRowFunction="sum" dataDxfId="335" totalsRowDxfId="334"/>
    <tableColumn id="38" name="ene-15" totalsRowFunction="sum" dataDxfId="333" totalsRowDxfId="332"/>
    <tableColumn id="39" name="feb-15" totalsRowFunction="sum" dataDxfId="331" totalsRowDxfId="330"/>
    <tableColumn id="40" name="mar-15" totalsRowFunction="sum" dataDxfId="329" totalsRowDxfId="328"/>
    <tableColumn id="41" name="abr-15" totalsRowFunction="sum" dataDxfId="327" totalsRowDxfId="326"/>
    <tableColumn id="42" name="may-15" totalsRowFunction="sum" dataDxfId="325" totalsRowDxfId="324"/>
    <tableColumn id="43" name="jun-15" totalsRowFunction="sum" dataDxfId="323" totalsRowDxfId="322"/>
    <tableColumn id="44" name="jul-15" totalsRowFunction="sum" dataDxfId="321" totalsRowDxfId="320"/>
    <tableColumn id="45" name="ago-15" totalsRowFunction="sum" dataDxfId="319" totalsRowDxfId="318"/>
    <tableColumn id="46" name="sep-15" totalsRowFunction="sum" dataDxfId="317" totalsRowDxfId="316"/>
    <tableColumn id="47" name="oct-15" totalsRowFunction="sum" dataDxfId="315" totalsRowDxfId="314"/>
    <tableColumn id="48" name="nov-15" totalsRowFunction="sum" dataDxfId="313" totalsRowDxfId="312"/>
    <tableColumn id="49" name="dic-15" totalsRowFunction="sum" dataDxfId="311" totalsRowDxfId="310"/>
    <tableColumn id="50" name="ene-16" totalsRowFunction="sum" dataDxfId="309" totalsRowDxfId="308"/>
    <tableColumn id="51" name="feb-16" totalsRowFunction="sum" dataDxfId="307" totalsRowDxfId="306"/>
    <tableColumn id="52" name="mar-16" totalsRowFunction="sum" dataDxfId="305" totalsRowDxfId="304"/>
    <tableColumn id="53" name="abr-16" totalsRowFunction="sum" dataDxfId="303" totalsRowDxfId="302"/>
    <tableColumn id="54" name="may-16" totalsRowFunction="sum" dataDxfId="301" totalsRowDxfId="300"/>
    <tableColumn id="55" name="jun-16" totalsRowFunction="sum" dataDxfId="299" totalsRowDxfId="298"/>
    <tableColumn id="56" name="jul-16" totalsRowFunction="sum" dataDxfId="297" totalsRowDxfId="296"/>
    <tableColumn id="57" name="ago-16" totalsRowFunction="sum" dataDxfId="295" totalsRowDxfId="294"/>
    <tableColumn id="58" name="sep-16" totalsRowFunction="sum" dataDxfId="293" totalsRowDxfId="292"/>
    <tableColumn id="59" name="oct-16" totalsRowFunction="sum" dataDxfId="291" totalsRowDxfId="290"/>
    <tableColumn id="60" name="nov-16" totalsRowFunction="sum" dataDxfId="289" totalsRowDxfId="288"/>
    <tableColumn id="61" name="dic-16" totalsRowFunction="sum" dataDxfId="287" totalsRowDxfId="286"/>
    <tableColumn id="62" name="ene-17" totalsRowFunction="sum" dataDxfId="285" totalsRowDxfId="284"/>
    <tableColumn id="63" name="feb-17" totalsRowFunction="sum" dataDxfId="283" totalsRowDxfId="282"/>
    <tableColumn id="64" name="mar-17" totalsRowFunction="sum" dataDxfId="281" totalsRowDxfId="280"/>
    <tableColumn id="65" name="abr-17" totalsRowFunction="sum" dataDxfId="279" totalsRowDxfId="278"/>
    <tableColumn id="66" name="may-17" totalsRowFunction="sum" dataDxfId="277" totalsRowDxfId="276"/>
    <tableColumn id="68" name="Total" totalsRowFunction="sum" dataDxfId="275" totalsRowDxfId="274">
      <calculatedColumnFormula>SUM(B7:BN7)</calculatedColumnFormula>
    </tableColumn>
  </tableColumns>
  <tableStyleInfo name="TableStyleLight9" showFirstColumn="0" showLastColumn="1" showRowStripes="1" showColumnStripes="0"/>
</table>
</file>

<file path=xl/tables/table4.xml><?xml version="1.0" encoding="utf-8"?>
<table xmlns="http://schemas.openxmlformats.org/spreadsheetml/2006/main" id="4" name="Tabla4" displayName="Tabla4" ref="A6:BO56" totalsRowCount="1" headerRowDxfId="273" dataDxfId="272" totalsRowDxfId="271">
  <autoFilter ref="A6:BO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</autoFilter>
  <sortState ref="A7:BO55">
    <sortCondition ref="A6:A55"/>
  </sortState>
  <tableColumns count="67">
    <tableColumn id="1" name="Delito" totalsRowLabel="Total" dataDxfId="270" totalsRowDxfId="269"/>
    <tableColumn id="2" name="ene-12" totalsRowFunction="sum" dataDxfId="268" totalsRowDxfId="267"/>
    <tableColumn id="3" name="feb-12" totalsRowFunction="sum" dataDxfId="266" totalsRowDxfId="265"/>
    <tableColumn id="4" name="mar-12" totalsRowFunction="sum" dataDxfId="264" totalsRowDxfId="263"/>
    <tableColumn id="5" name="abr-12" totalsRowFunction="sum" dataDxfId="262" totalsRowDxfId="261"/>
    <tableColumn id="6" name="may-12" totalsRowFunction="sum" dataDxfId="260" totalsRowDxfId="259"/>
    <tableColumn id="7" name="jun-12" totalsRowFunction="sum" dataDxfId="258" totalsRowDxfId="257"/>
    <tableColumn id="8" name="jul-12" totalsRowFunction="sum" dataDxfId="256" totalsRowDxfId="255"/>
    <tableColumn id="9" name="ago-12" totalsRowFunction="sum" dataDxfId="254" totalsRowDxfId="253"/>
    <tableColumn id="10" name="sep-12" totalsRowFunction="sum" dataDxfId="252" totalsRowDxfId="251"/>
    <tableColumn id="11" name="oct-12" totalsRowFunction="sum" dataDxfId="250" totalsRowDxfId="249"/>
    <tableColumn id="12" name="nov-12" totalsRowFunction="sum" dataDxfId="248" totalsRowDxfId="247"/>
    <tableColumn id="13" name="dic-12" totalsRowFunction="sum" dataDxfId="246" totalsRowDxfId="245"/>
    <tableColumn id="14" name="ene-13" totalsRowFunction="sum" dataDxfId="244" totalsRowDxfId="243"/>
    <tableColumn id="15" name="feb-13" totalsRowFunction="sum" dataDxfId="242" totalsRowDxfId="241"/>
    <tableColumn id="16" name="mar-13" totalsRowFunction="sum" dataDxfId="240" totalsRowDxfId="239"/>
    <tableColumn id="17" name="abr-13" totalsRowFunction="sum" dataDxfId="238" totalsRowDxfId="237"/>
    <tableColumn id="18" name="may-13" totalsRowFunction="sum" dataDxfId="236" totalsRowDxfId="235"/>
    <tableColumn id="19" name="jun-13" totalsRowFunction="sum" dataDxfId="234" totalsRowDxfId="233"/>
    <tableColumn id="20" name="jul-13" totalsRowFunction="sum" dataDxfId="232" totalsRowDxfId="231"/>
    <tableColumn id="21" name="ago-13" totalsRowFunction="sum" dataDxfId="230" totalsRowDxfId="229"/>
    <tableColumn id="22" name="sep-13" totalsRowFunction="sum" dataDxfId="228" totalsRowDxfId="227"/>
    <tableColumn id="23" name="oct-13" totalsRowFunction="sum" dataDxfId="226" totalsRowDxfId="225"/>
    <tableColumn id="24" name="nov-13" totalsRowFunction="sum" dataDxfId="224" totalsRowDxfId="223"/>
    <tableColumn id="25" name="dic-13" totalsRowFunction="sum" dataDxfId="222" totalsRowDxfId="221"/>
    <tableColumn id="26" name="ene-14" totalsRowFunction="sum" dataDxfId="220" totalsRowDxfId="219"/>
    <tableColumn id="27" name="feb-14" totalsRowFunction="sum" dataDxfId="218" totalsRowDxfId="217"/>
    <tableColumn id="28" name="mar-14" totalsRowFunction="sum" dataDxfId="216" totalsRowDxfId="215"/>
    <tableColumn id="29" name="abr-14" totalsRowFunction="sum" dataDxfId="214" totalsRowDxfId="213"/>
    <tableColumn id="30" name="may-14" totalsRowFunction="sum" dataDxfId="212" totalsRowDxfId="211"/>
    <tableColumn id="31" name="jun-14" totalsRowFunction="sum" dataDxfId="210" totalsRowDxfId="209"/>
    <tableColumn id="32" name="jul-14" totalsRowFunction="sum" dataDxfId="208" totalsRowDxfId="207"/>
    <tableColumn id="33" name="ago-14" totalsRowFunction="sum" dataDxfId="206" totalsRowDxfId="205"/>
    <tableColumn id="34" name="sep-14" totalsRowFunction="sum" dataDxfId="204" totalsRowDxfId="203"/>
    <tableColumn id="35" name="oct-14" totalsRowFunction="sum" dataDxfId="202" totalsRowDxfId="201"/>
    <tableColumn id="36" name="nov-14" totalsRowFunction="sum" dataDxfId="200" totalsRowDxfId="199"/>
    <tableColumn id="37" name="dic-14" totalsRowFunction="sum" dataDxfId="198" totalsRowDxfId="197"/>
    <tableColumn id="38" name="ene-15" totalsRowFunction="sum" dataDxfId="196" totalsRowDxfId="195"/>
    <tableColumn id="39" name="feb-15" totalsRowFunction="sum" dataDxfId="194" totalsRowDxfId="193"/>
    <tableColumn id="40" name="mar-15" totalsRowFunction="sum" dataDxfId="192" totalsRowDxfId="191"/>
    <tableColumn id="41" name="abr-15" totalsRowFunction="sum" dataDxfId="190" totalsRowDxfId="189"/>
    <tableColumn id="42" name="may-15" totalsRowFunction="sum" dataDxfId="188" totalsRowDxfId="187"/>
    <tableColumn id="43" name="jun-15" totalsRowFunction="sum" dataDxfId="186" totalsRowDxfId="185"/>
    <tableColumn id="44" name="jul-15" totalsRowFunction="sum" dataDxfId="184" totalsRowDxfId="183"/>
    <tableColumn id="45" name="ago-15" totalsRowFunction="sum" dataDxfId="182" totalsRowDxfId="181"/>
    <tableColumn id="46" name="sep-15" totalsRowFunction="sum" dataDxfId="180" totalsRowDxfId="179"/>
    <tableColumn id="47" name="oct-15" totalsRowFunction="sum" dataDxfId="178" totalsRowDxfId="177"/>
    <tableColumn id="48" name="nov-15" totalsRowFunction="sum" dataDxfId="176" totalsRowDxfId="175"/>
    <tableColumn id="49" name="dic-15" totalsRowFunction="sum" dataDxfId="174" totalsRowDxfId="173"/>
    <tableColumn id="50" name="ene-16" totalsRowFunction="sum" dataDxfId="172" totalsRowDxfId="171"/>
    <tableColumn id="51" name="feb-16" totalsRowFunction="sum" dataDxfId="170" totalsRowDxfId="169"/>
    <tableColumn id="52" name="mar-16" totalsRowFunction="sum" dataDxfId="168" totalsRowDxfId="167"/>
    <tableColumn id="53" name="abr-16" totalsRowFunction="sum" dataDxfId="166" totalsRowDxfId="165"/>
    <tableColumn id="54" name="may-16" totalsRowFunction="sum" dataDxfId="164" totalsRowDxfId="163"/>
    <tableColumn id="55" name="jun-16" totalsRowFunction="sum" dataDxfId="162" totalsRowDxfId="161"/>
    <tableColumn id="56" name="jul-16" totalsRowFunction="sum" dataDxfId="160" totalsRowDxfId="159"/>
    <tableColumn id="57" name="ago-16" totalsRowFunction="sum" dataDxfId="158" totalsRowDxfId="157"/>
    <tableColumn id="58" name="sep-16" totalsRowFunction="sum" dataDxfId="156" totalsRowDxfId="155"/>
    <tableColumn id="59" name="oct-16" totalsRowFunction="sum" dataDxfId="154" totalsRowDxfId="153"/>
    <tableColumn id="60" name="nov-16" totalsRowFunction="sum" dataDxfId="152" totalsRowDxfId="151"/>
    <tableColumn id="61" name="dic-16" totalsRowFunction="sum" dataDxfId="150" totalsRowDxfId="149"/>
    <tableColumn id="62" name="ene-17" totalsRowFunction="sum" dataDxfId="148" totalsRowDxfId="147"/>
    <tableColumn id="63" name="feb-17" totalsRowFunction="sum" dataDxfId="146" totalsRowDxfId="145"/>
    <tableColumn id="64" name="mar-17" totalsRowFunction="sum" dataDxfId="144" totalsRowDxfId="143"/>
    <tableColumn id="65" name="abr-17" totalsRowFunction="sum" dataDxfId="142" totalsRowDxfId="141"/>
    <tableColumn id="66" name="may-17" totalsRowFunction="sum" dataDxfId="140" totalsRowDxfId="139"/>
    <tableColumn id="68" name="Total" totalsRowFunction="sum" dataDxfId="138" totalsRowDxfId="137">
      <calculatedColumnFormula>SUM(B7:BN7)</calculatedColumnFormula>
    </tableColumn>
  </tableColumns>
  <tableStyleInfo name="TableStyleLight9" showFirstColumn="0" showLastColumn="1" showRowStripes="1" showColumnStripes="0"/>
</table>
</file>

<file path=xl/tables/table5.xml><?xml version="1.0" encoding="utf-8"?>
<table xmlns="http://schemas.openxmlformats.org/spreadsheetml/2006/main" id="6" name="Tabla6" displayName="Tabla6" ref="A6:BO56" totalsRowCount="1" headerRowDxfId="136" dataDxfId="135" totalsRowDxfId="134">
  <autoFilter ref="A6:BO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</autoFilter>
  <sortState ref="A7:BO55">
    <sortCondition ref="A6:A55"/>
  </sortState>
  <tableColumns count="67">
    <tableColumn id="1" name="Delito" totalsRowLabel="Total" dataDxfId="133" totalsRowDxfId="132"/>
    <tableColumn id="2" name="ene-12" totalsRowFunction="sum" dataDxfId="131" totalsRowDxfId="130"/>
    <tableColumn id="3" name="feb-12" totalsRowFunction="sum" dataDxfId="129" totalsRowDxfId="128"/>
    <tableColumn id="4" name="mar-12" totalsRowFunction="sum" dataDxfId="127" totalsRowDxfId="126"/>
    <tableColumn id="5" name="abr-12" totalsRowFunction="sum" dataDxfId="125" totalsRowDxfId="124"/>
    <tableColumn id="6" name="may-12" totalsRowFunction="sum" dataDxfId="123" totalsRowDxfId="122"/>
    <tableColumn id="7" name="jun-12" totalsRowFunction="sum" dataDxfId="121" totalsRowDxfId="120"/>
    <tableColumn id="8" name="jul-12" totalsRowFunction="sum" dataDxfId="119" totalsRowDxfId="118"/>
    <tableColumn id="9" name="ago-12" totalsRowFunction="sum" dataDxfId="117" totalsRowDxfId="116"/>
    <tableColumn id="10" name="sep-12" totalsRowFunction="sum" dataDxfId="115" totalsRowDxfId="114"/>
    <tableColumn id="11" name="oct-12" totalsRowFunction="sum" dataDxfId="113" totalsRowDxfId="112"/>
    <tableColumn id="12" name="nov-12" totalsRowFunction="sum" dataDxfId="111" totalsRowDxfId="110"/>
    <tableColumn id="13" name="dic-12" totalsRowFunction="sum" dataDxfId="109" totalsRowDxfId="108"/>
    <tableColumn id="14" name="ene-13" totalsRowFunction="sum" dataDxfId="107" totalsRowDxfId="106"/>
    <tableColumn id="15" name="feb-13" totalsRowFunction="sum" dataDxfId="105" totalsRowDxfId="104"/>
    <tableColumn id="16" name="mar-13" totalsRowFunction="sum" dataDxfId="103" totalsRowDxfId="102"/>
    <tableColumn id="17" name="abr-13" totalsRowFunction="sum" dataDxfId="101" totalsRowDxfId="100"/>
    <tableColumn id="18" name="may-13" totalsRowFunction="sum" dataDxfId="99" totalsRowDxfId="98"/>
    <tableColumn id="19" name="jun-13" totalsRowFunction="sum" dataDxfId="97" totalsRowDxfId="96"/>
    <tableColumn id="20" name="jul-13" totalsRowFunction="sum" dataDxfId="95" totalsRowDxfId="94"/>
    <tableColumn id="21" name="ago-13" totalsRowFunction="sum" dataDxfId="93" totalsRowDxfId="92"/>
    <tableColumn id="22" name="sep-13" totalsRowFunction="sum" dataDxfId="91" totalsRowDxfId="90"/>
    <tableColumn id="23" name="oct-13" totalsRowFunction="sum" dataDxfId="89" totalsRowDxfId="88"/>
    <tableColumn id="24" name="nov-13" totalsRowFunction="sum" dataDxfId="87" totalsRowDxfId="86"/>
    <tableColumn id="25" name="dic-13" totalsRowFunction="sum" dataDxfId="85" totalsRowDxfId="84"/>
    <tableColumn id="26" name="ene-14" totalsRowFunction="sum" dataDxfId="83" totalsRowDxfId="82"/>
    <tableColumn id="27" name="feb-14" totalsRowFunction="sum" dataDxfId="81" totalsRowDxfId="80"/>
    <tableColumn id="28" name="mar-14" totalsRowFunction="sum" dataDxfId="79" totalsRowDxfId="78"/>
    <tableColumn id="29" name="abr-14" totalsRowFunction="sum" dataDxfId="77" totalsRowDxfId="76"/>
    <tableColumn id="30" name="may-14" totalsRowFunction="sum" dataDxfId="75" totalsRowDxfId="74"/>
    <tableColumn id="31" name="jun-14" totalsRowFunction="sum" dataDxfId="73" totalsRowDxfId="72"/>
    <tableColumn id="32" name="jul-14" totalsRowFunction="sum" dataDxfId="71" totalsRowDxfId="70"/>
    <tableColumn id="33" name="ago-14" totalsRowFunction="sum" dataDxfId="69" totalsRowDxfId="68"/>
    <tableColumn id="34" name="sep-14" totalsRowFunction="sum" dataDxfId="67" totalsRowDxfId="66"/>
    <tableColumn id="35" name="oct-14" totalsRowFunction="sum" dataDxfId="65" totalsRowDxfId="64"/>
    <tableColumn id="36" name="nov-14" totalsRowFunction="sum" dataDxfId="63" totalsRowDxfId="62"/>
    <tableColumn id="37" name="dic-14" totalsRowFunction="sum" dataDxfId="61" totalsRowDxfId="60"/>
    <tableColumn id="38" name="ene-15" totalsRowFunction="sum" dataDxfId="59" totalsRowDxfId="58"/>
    <tableColumn id="39" name="feb-15" totalsRowFunction="sum" dataDxfId="57" totalsRowDxfId="56"/>
    <tableColumn id="40" name="mar-15" totalsRowFunction="sum" dataDxfId="55" totalsRowDxfId="54"/>
    <tableColumn id="41" name="abr-15" totalsRowFunction="sum" dataDxfId="53" totalsRowDxfId="52"/>
    <tableColumn id="42" name="may-15" totalsRowFunction="sum" dataDxfId="51" totalsRowDxfId="50"/>
    <tableColumn id="43" name="jun-15" totalsRowFunction="sum" dataDxfId="49" totalsRowDxfId="48"/>
    <tableColumn id="44" name="jul-15" totalsRowFunction="sum" dataDxfId="47" totalsRowDxfId="46"/>
    <tableColumn id="45" name="ago-15" totalsRowFunction="sum" dataDxfId="45" totalsRowDxfId="44"/>
    <tableColumn id="46" name="sep-15" totalsRowFunction="sum" dataDxfId="43" totalsRowDxfId="42"/>
    <tableColumn id="47" name="oct-15" totalsRowFunction="sum" dataDxfId="41" totalsRowDxfId="40"/>
    <tableColumn id="48" name="nov-15" totalsRowFunction="sum" dataDxfId="39" totalsRowDxfId="38"/>
    <tableColumn id="49" name="dic-15" totalsRowFunction="sum" dataDxfId="37" totalsRowDxfId="36"/>
    <tableColumn id="50" name="ene-16" totalsRowFunction="sum" dataDxfId="35" totalsRowDxfId="34"/>
    <tableColumn id="51" name="feb-16" totalsRowFunction="sum" dataDxfId="33" totalsRowDxfId="32"/>
    <tableColumn id="52" name="mar-16" totalsRowFunction="sum" dataDxfId="31" totalsRowDxfId="30"/>
    <tableColumn id="53" name="abr-16" totalsRowFunction="sum" dataDxfId="29" totalsRowDxfId="28"/>
    <tableColumn id="54" name="may-16" totalsRowFunction="sum" dataDxfId="27" totalsRowDxfId="26"/>
    <tableColumn id="55" name="jun-16" totalsRowFunction="sum" dataDxfId="25" totalsRowDxfId="24"/>
    <tableColumn id="56" name="jul-16" totalsRowFunction="sum" dataDxfId="23" totalsRowDxfId="22"/>
    <tableColumn id="57" name="ago-16" totalsRowFunction="sum" dataDxfId="21" totalsRowDxfId="20"/>
    <tableColumn id="58" name="sep-16" totalsRowFunction="sum" dataDxfId="19" totalsRowDxfId="18"/>
    <tableColumn id="59" name="oct-16" totalsRowFunction="sum" dataDxfId="17" totalsRowDxfId="16"/>
    <tableColumn id="60" name="nov-16" totalsRowFunction="sum" dataDxfId="15" totalsRowDxfId="14"/>
    <tableColumn id="61" name="dic-16" totalsRowFunction="sum" dataDxfId="13" totalsRowDxfId="12"/>
    <tableColumn id="62" name="ene-17" totalsRowFunction="sum" dataDxfId="11" totalsRowDxfId="10"/>
    <tableColumn id="63" name="feb-17" totalsRowFunction="sum" dataDxfId="9" totalsRowDxfId="8"/>
    <tableColumn id="64" name="mar-17" totalsRowFunction="sum" dataDxfId="7" totalsRowDxfId="6"/>
    <tableColumn id="65" name="abr-17" totalsRowFunction="sum" dataDxfId="5" totalsRowDxfId="4"/>
    <tableColumn id="66" name="may-17" totalsRowFunction="sum" dataDxfId="3" totalsRowDxfId="2"/>
    <tableColumn id="67" name="Total" totalsRowFunction="sum" dataDxfId="1" totalsRowDxfId="0">
      <calculatedColumnFormula>SUM(B7:BN7)</calculatedColumnFormula>
    </tableColumn>
  </tableColumns>
  <tableStyleInfo name="TableStyleLight9" showFirstColumn="0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Rojo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6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0" defaultRowHeight="15" x14ac:dyDescent="0.25"/>
  <cols>
    <col min="1" max="1" width="71.42578125" customWidth="1"/>
    <col min="2" max="2" width="11.42578125" customWidth="1"/>
    <col min="3" max="3" width="11.85546875" bestFit="1" customWidth="1"/>
    <col min="4" max="67" width="11.42578125" customWidth="1"/>
    <col min="68" max="16384" width="11.42578125" hidden="1"/>
  </cols>
  <sheetData>
    <row r="1" spans="1:67" ht="56.25" customHeight="1" x14ac:dyDescent="0.25">
      <c r="A1" s="13" t="s">
        <v>0</v>
      </c>
    </row>
    <row r="2" spans="1:67" ht="3.75" customHeight="1" x14ac:dyDescent="0.3">
      <c r="A2" s="7"/>
    </row>
    <row r="3" spans="1:67" ht="15.75" x14ac:dyDescent="0.25">
      <c r="A3" s="6" t="s">
        <v>1</v>
      </c>
    </row>
    <row r="4" spans="1:67" ht="15.75" x14ac:dyDescent="0.25">
      <c r="A4" s="6" t="s">
        <v>2</v>
      </c>
    </row>
    <row r="6" spans="1:67" ht="37.5" customHeight="1" x14ac:dyDescent="0.25">
      <c r="A6" s="3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  <c r="AA6" s="4" t="s">
        <v>30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 t="s">
        <v>36</v>
      </c>
      <c r="AH6" s="4" t="s">
        <v>37</v>
      </c>
      <c r="AI6" s="4" t="s">
        <v>38</v>
      </c>
      <c r="AJ6" s="4" t="s">
        <v>39</v>
      </c>
      <c r="AK6" s="4" t="s">
        <v>40</v>
      </c>
      <c r="AL6" s="4" t="s">
        <v>41</v>
      </c>
      <c r="AM6" s="4" t="s">
        <v>42</v>
      </c>
      <c r="AN6" s="4" t="s">
        <v>43</v>
      </c>
      <c r="AO6" s="4" t="s">
        <v>44</v>
      </c>
      <c r="AP6" s="4" t="s">
        <v>45</v>
      </c>
      <c r="AQ6" s="4" t="s">
        <v>46</v>
      </c>
      <c r="AR6" s="4" t="s">
        <v>47</v>
      </c>
      <c r="AS6" s="4" t="s">
        <v>48</v>
      </c>
      <c r="AT6" s="4" t="s">
        <v>49</v>
      </c>
      <c r="AU6" s="4" t="s">
        <v>50</v>
      </c>
      <c r="AV6" s="4" t="s">
        <v>51</v>
      </c>
      <c r="AW6" s="4" t="s">
        <v>52</v>
      </c>
      <c r="AX6" s="4" t="s">
        <v>53</v>
      </c>
      <c r="AY6" s="4" t="s">
        <v>54</v>
      </c>
      <c r="AZ6" s="4" t="s">
        <v>55</v>
      </c>
      <c r="BA6" s="4" t="s">
        <v>56</v>
      </c>
      <c r="BB6" s="4" t="s">
        <v>57</v>
      </c>
      <c r="BC6" s="4" t="s">
        <v>58</v>
      </c>
      <c r="BD6" s="4" t="s">
        <v>59</v>
      </c>
      <c r="BE6" s="4" t="s">
        <v>60</v>
      </c>
      <c r="BF6" s="4" t="s">
        <v>61</v>
      </c>
      <c r="BG6" s="4" t="s">
        <v>62</v>
      </c>
      <c r="BH6" s="4" t="s">
        <v>63</v>
      </c>
      <c r="BI6" s="4" t="s">
        <v>64</v>
      </c>
      <c r="BJ6" s="4" t="s">
        <v>65</v>
      </c>
      <c r="BK6" s="4" t="s">
        <v>66</v>
      </c>
      <c r="BL6" s="4" t="s">
        <v>67</v>
      </c>
      <c r="BM6" s="4" t="s">
        <v>68</v>
      </c>
      <c r="BN6" s="4" t="s">
        <v>69</v>
      </c>
      <c r="BO6" s="5" t="s">
        <v>3</v>
      </c>
    </row>
    <row r="7" spans="1:67" ht="105.75" customHeight="1" x14ac:dyDescent="0.25">
      <c r="A7" s="1" t="s">
        <v>70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1</v>
      </c>
      <c r="AM7" s="2">
        <v>0</v>
      </c>
      <c r="AN7" s="2">
        <v>0</v>
      </c>
      <c r="AO7" s="2">
        <v>0</v>
      </c>
      <c r="AP7" s="2">
        <v>0</v>
      </c>
      <c r="AQ7" s="2">
        <v>22</v>
      </c>
      <c r="AR7" s="2">
        <v>14</v>
      </c>
      <c r="AS7" s="2">
        <v>17</v>
      </c>
      <c r="AT7" s="2">
        <v>12</v>
      </c>
      <c r="AU7" s="2">
        <v>31</v>
      </c>
      <c r="AV7" s="2">
        <v>31</v>
      </c>
      <c r="AW7" s="2">
        <v>10</v>
      </c>
      <c r="AX7" s="2">
        <v>19</v>
      </c>
      <c r="AY7" s="2">
        <v>20</v>
      </c>
      <c r="AZ7" s="2">
        <v>10</v>
      </c>
      <c r="BA7" s="2">
        <v>20</v>
      </c>
      <c r="BB7" s="2">
        <v>22</v>
      </c>
      <c r="BC7" s="2">
        <v>8</v>
      </c>
      <c r="BD7" s="2">
        <v>6</v>
      </c>
      <c r="BE7" s="2">
        <v>3</v>
      </c>
      <c r="BF7" s="2">
        <v>0</v>
      </c>
      <c r="BG7" s="2">
        <v>5</v>
      </c>
      <c r="BH7" s="2">
        <v>1</v>
      </c>
      <c r="BI7" s="2">
        <v>6</v>
      </c>
      <c r="BJ7" s="2">
        <v>2</v>
      </c>
      <c r="BK7" s="2">
        <v>0</v>
      </c>
      <c r="BL7" s="2">
        <v>2</v>
      </c>
      <c r="BM7" s="2">
        <v>0</v>
      </c>
      <c r="BN7" s="2">
        <v>0</v>
      </c>
      <c r="BO7" s="2">
        <f>SUM(Tabla1[[#This Row],[ene-12]:[may-17]])</f>
        <v>262</v>
      </c>
    </row>
    <row r="8" spans="1:67" ht="105.75" customHeight="1" x14ac:dyDescent="0.25">
      <c r="A8" s="1" t="s">
        <v>71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2</v>
      </c>
      <c r="AZ8" s="2">
        <v>0</v>
      </c>
      <c r="BA8" s="2">
        <v>0</v>
      </c>
      <c r="BB8" s="2">
        <v>0</v>
      </c>
      <c r="BC8" s="2">
        <v>0</v>
      </c>
      <c r="BD8" s="2">
        <v>1</v>
      </c>
      <c r="BE8" s="2">
        <v>0</v>
      </c>
      <c r="BF8" s="2">
        <v>6</v>
      </c>
      <c r="BG8" s="2">
        <v>3</v>
      </c>
      <c r="BH8" s="2">
        <v>0</v>
      </c>
      <c r="BI8" s="2">
        <v>0</v>
      </c>
      <c r="BJ8" s="2">
        <v>0</v>
      </c>
      <c r="BK8" s="2">
        <v>0</v>
      </c>
      <c r="BL8" s="2">
        <v>9</v>
      </c>
      <c r="BM8" s="2">
        <v>0</v>
      </c>
      <c r="BN8" s="2">
        <v>0</v>
      </c>
      <c r="BO8" s="2">
        <f>SUM(Tabla1[[#This Row],[ene-12]:[may-17]])</f>
        <v>21</v>
      </c>
    </row>
    <row r="9" spans="1:67" ht="105.75" customHeight="1" x14ac:dyDescent="0.25">
      <c r="A9" s="1" t="s">
        <v>72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2</v>
      </c>
      <c r="BC9" s="2">
        <v>5</v>
      </c>
      <c r="BD9" s="2">
        <v>0</v>
      </c>
      <c r="BE9" s="2">
        <v>0</v>
      </c>
      <c r="BF9" s="2">
        <v>3</v>
      </c>
      <c r="BG9" s="2">
        <v>0</v>
      </c>
      <c r="BH9" s="2">
        <v>0</v>
      </c>
      <c r="BI9" s="2">
        <v>0</v>
      </c>
      <c r="BJ9" s="2">
        <v>2</v>
      </c>
      <c r="BK9" s="2">
        <v>4</v>
      </c>
      <c r="BL9" s="2">
        <v>0</v>
      </c>
      <c r="BM9" s="2">
        <v>3</v>
      </c>
      <c r="BN9" s="2">
        <v>0</v>
      </c>
      <c r="BO9" s="2">
        <f>SUM(Tabla1[[#This Row],[ene-12]:[may-17]])</f>
        <v>19</v>
      </c>
    </row>
    <row r="10" spans="1:67" ht="105.75" customHeight="1" x14ac:dyDescent="0.25">
      <c r="A10" s="1" t="s">
        <v>73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2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4</v>
      </c>
      <c r="BF10" s="2">
        <v>1</v>
      </c>
      <c r="BG10" s="2">
        <v>2</v>
      </c>
      <c r="BH10" s="2">
        <v>0</v>
      </c>
      <c r="BI10" s="2">
        <v>2</v>
      </c>
      <c r="BJ10" s="2">
        <v>0</v>
      </c>
      <c r="BK10" s="2">
        <v>0</v>
      </c>
      <c r="BL10" s="2">
        <v>9</v>
      </c>
      <c r="BM10" s="2">
        <v>5</v>
      </c>
      <c r="BN10" s="2">
        <v>3</v>
      </c>
      <c r="BO10" s="2">
        <f>SUM(Tabla1[[#This Row],[ene-12]:[may-17]])</f>
        <v>28</v>
      </c>
    </row>
    <row r="11" spans="1:67" ht="105.75" customHeight="1" x14ac:dyDescent="0.25">
      <c r="A11" s="1" t="s">
        <v>74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2</v>
      </c>
      <c r="AZ11" s="2">
        <v>0</v>
      </c>
      <c r="BA11" s="2">
        <v>0</v>
      </c>
      <c r="BB11" s="2">
        <v>0</v>
      </c>
      <c r="BC11" s="2">
        <v>2</v>
      </c>
      <c r="BD11" s="2">
        <v>10</v>
      </c>
      <c r="BE11" s="2">
        <v>1</v>
      </c>
      <c r="BF11" s="2">
        <v>0</v>
      </c>
      <c r="BG11" s="2">
        <v>4</v>
      </c>
      <c r="BH11" s="2">
        <v>0</v>
      </c>
      <c r="BI11" s="2">
        <v>1</v>
      </c>
      <c r="BJ11" s="2">
        <v>2</v>
      </c>
      <c r="BK11" s="2">
        <v>6</v>
      </c>
      <c r="BL11" s="2">
        <v>0</v>
      </c>
      <c r="BM11" s="2">
        <v>0</v>
      </c>
      <c r="BN11" s="2">
        <v>3</v>
      </c>
      <c r="BO11" s="2">
        <f>SUM(Tabla1[[#This Row],[ene-12]:[may-17]])</f>
        <v>31</v>
      </c>
    </row>
    <row r="12" spans="1:67" ht="105.75" customHeight="1" x14ac:dyDescent="0.25">
      <c r="A12" s="1" t="s">
        <v>75</v>
      </c>
      <c r="B12" s="2">
        <v>8</v>
      </c>
      <c r="C12" s="2">
        <v>31</v>
      </c>
      <c r="D12" s="2">
        <v>10</v>
      </c>
      <c r="E12" s="2">
        <v>8</v>
      </c>
      <c r="F12" s="2">
        <v>178</v>
      </c>
      <c r="G12" s="2">
        <v>32</v>
      </c>
      <c r="H12" s="2">
        <v>8</v>
      </c>
      <c r="I12" s="2">
        <v>14</v>
      </c>
      <c r="J12" s="2">
        <v>15</v>
      </c>
      <c r="K12" s="2">
        <v>19</v>
      </c>
      <c r="L12" s="2">
        <v>11</v>
      </c>
      <c r="M12" s="2">
        <v>1</v>
      </c>
      <c r="N12" s="2">
        <v>9</v>
      </c>
      <c r="O12" s="2">
        <v>6</v>
      </c>
      <c r="P12" s="2">
        <v>30</v>
      </c>
      <c r="Q12" s="2">
        <v>17</v>
      </c>
      <c r="R12" s="2">
        <v>74</v>
      </c>
      <c r="S12" s="2">
        <v>22</v>
      </c>
      <c r="T12" s="2">
        <v>45</v>
      </c>
      <c r="U12" s="2">
        <v>48</v>
      </c>
      <c r="V12" s="2">
        <v>42</v>
      </c>
      <c r="W12" s="2">
        <v>123</v>
      </c>
      <c r="X12" s="2">
        <v>39</v>
      </c>
      <c r="Y12" s="2">
        <v>33</v>
      </c>
      <c r="Z12" s="2">
        <v>71</v>
      </c>
      <c r="AA12" s="2">
        <v>24</v>
      </c>
      <c r="AB12" s="2">
        <v>56</v>
      </c>
      <c r="AC12" s="2">
        <v>49</v>
      </c>
      <c r="AD12" s="2">
        <v>75</v>
      </c>
      <c r="AE12" s="2">
        <v>43</v>
      </c>
      <c r="AF12" s="2">
        <v>39</v>
      </c>
      <c r="AG12" s="2">
        <v>20</v>
      </c>
      <c r="AH12" s="2">
        <v>60</v>
      </c>
      <c r="AI12" s="2">
        <v>76</v>
      </c>
      <c r="AJ12" s="2">
        <v>49</v>
      </c>
      <c r="AK12" s="2">
        <v>25</v>
      </c>
      <c r="AL12" s="2">
        <v>53</v>
      </c>
      <c r="AM12" s="2">
        <v>24</v>
      </c>
      <c r="AN12" s="2">
        <v>0</v>
      </c>
      <c r="AO12" s="2">
        <v>0</v>
      </c>
      <c r="AP12" s="2">
        <v>0</v>
      </c>
      <c r="AQ12" s="2">
        <v>164</v>
      </c>
      <c r="AR12" s="2">
        <v>40</v>
      </c>
      <c r="AS12" s="2">
        <v>50</v>
      </c>
      <c r="AT12" s="2">
        <v>11</v>
      </c>
      <c r="AU12" s="2">
        <v>35</v>
      </c>
      <c r="AV12" s="2">
        <v>20</v>
      </c>
      <c r="AW12" s="2">
        <v>18</v>
      </c>
      <c r="AX12" s="2">
        <v>25</v>
      </c>
      <c r="AY12" s="2">
        <v>14</v>
      </c>
      <c r="AZ12" s="2">
        <v>59</v>
      </c>
      <c r="BA12" s="2">
        <v>36</v>
      </c>
      <c r="BB12" s="2">
        <v>44</v>
      </c>
      <c r="BC12" s="2">
        <v>17</v>
      </c>
      <c r="BD12" s="2">
        <v>7</v>
      </c>
      <c r="BE12" s="2">
        <v>10</v>
      </c>
      <c r="BF12" s="2">
        <v>3</v>
      </c>
      <c r="BG12" s="2">
        <v>0</v>
      </c>
      <c r="BH12" s="2">
        <v>1</v>
      </c>
      <c r="BI12" s="2">
        <v>1</v>
      </c>
      <c r="BJ12" s="2">
        <v>0</v>
      </c>
      <c r="BK12" s="2">
        <v>3</v>
      </c>
      <c r="BL12" s="2">
        <v>2</v>
      </c>
      <c r="BM12" s="2">
        <v>0</v>
      </c>
      <c r="BN12" s="2">
        <v>0</v>
      </c>
      <c r="BO12" s="2">
        <f>SUM(Tabla1[[#This Row],[ene-12]:[may-17]])</f>
        <v>2047</v>
      </c>
    </row>
    <row r="13" spans="1:67" ht="105.75" customHeight="1" x14ac:dyDescent="0.25">
      <c r="A13" s="1" t="s">
        <v>76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2</v>
      </c>
      <c r="AR13" s="2">
        <v>0</v>
      </c>
      <c r="AS13" s="2">
        <v>4</v>
      </c>
      <c r="AT13" s="2">
        <v>0</v>
      </c>
      <c r="AU13" s="2">
        <v>0</v>
      </c>
      <c r="AV13" s="2">
        <v>4</v>
      </c>
      <c r="AW13" s="2">
        <v>3</v>
      </c>
      <c r="AX13" s="2">
        <v>3</v>
      </c>
      <c r="AY13" s="2">
        <v>0</v>
      </c>
      <c r="AZ13" s="2">
        <v>1</v>
      </c>
      <c r="BA13" s="2">
        <v>3</v>
      </c>
      <c r="BB13" s="2">
        <v>1</v>
      </c>
      <c r="BC13" s="2">
        <v>0</v>
      </c>
      <c r="BD13" s="2">
        <v>4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2</v>
      </c>
      <c r="BL13" s="2">
        <v>0</v>
      </c>
      <c r="BM13" s="2">
        <v>0</v>
      </c>
      <c r="BN13" s="2">
        <v>0</v>
      </c>
      <c r="BO13" s="2">
        <f>SUM(Tabla1[[#This Row],[ene-12]:[may-17]])</f>
        <v>27</v>
      </c>
    </row>
    <row r="14" spans="1:67" ht="105.75" customHeight="1" x14ac:dyDescent="0.25">
      <c r="A14" s="1" t="s">
        <v>77</v>
      </c>
      <c r="B14" s="2">
        <v>47</v>
      </c>
      <c r="C14" s="2">
        <v>87</v>
      </c>
      <c r="D14" s="2">
        <v>32</v>
      </c>
      <c r="E14" s="2">
        <v>20</v>
      </c>
      <c r="F14" s="2">
        <v>34</v>
      </c>
      <c r="G14" s="2">
        <v>34</v>
      </c>
      <c r="H14" s="2">
        <v>54</v>
      </c>
      <c r="I14" s="2">
        <v>33</v>
      </c>
      <c r="J14" s="2">
        <v>316</v>
      </c>
      <c r="K14" s="2">
        <v>24</v>
      </c>
      <c r="L14" s="2">
        <v>14</v>
      </c>
      <c r="M14" s="2">
        <v>7</v>
      </c>
      <c r="N14" s="2">
        <v>23</v>
      </c>
      <c r="O14" s="2">
        <v>20</v>
      </c>
      <c r="P14" s="2">
        <v>78</v>
      </c>
      <c r="Q14" s="2">
        <v>63</v>
      </c>
      <c r="R14" s="2">
        <v>44</v>
      </c>
      <c r="S14" s="2">
        <v>294</v>
      </c>
      <c r="T14" s="2">
        <v>154</v>
      </c>
      <c r="U14" s="2">
        <v>32</v>
      </c>
      <c r="V14" s="2">
        <v>17</v>
      </c>
      <c r="W14" s="2">
        <v>94</v>
      </c>
      <c r="X14" s="2">
        <v>66</v>
      </c>
      <c r="Y14" s="2">
        <v>55</v>
      </c>
      <c r="Z14" s="2">
        <v>28</v>
      </c>
      <c r="AA14" s="2">
        <v>33</v>
      </c>
      <c r="AB14" s="2">
        <v>262</v>
      </c>
      <c r="AC14" s="2">
        <v>17</v>
      </c>
      <c r="AD14" s="2">
        <v>138</v>
      </c>
      <c r="AE14" s="2">
        <v>36</v>
      </c>
      <c r="AF14" s="2">
        <v>110</v>
      </c>
      <c r="AG14" s="2">
        <v>22</v>
      </c>
      <c r="AH14" s="2">
        <v>23</v>
      </c>
      <c r="AI14" s="2">
        <v>34</v>
      </c>
      <c r="AJ14" s="2">
        <v>36</v>
      </c>
      <c r="AK14" s="2">
        <v>44</v>
      </c>
      <c r="AL14" s="2">
        <v>69</v>
      </c>
      <c r="AM14" s="2">
        <v>0</v>
      </c>
      <c r="AN14" s="2">
        <v>0</v>
      </c>
      <c r="AO14" s="2">
        <v>0</v>
      </c>
      <c r="AP14" s="2">
        <v>0</v>
      </c>
      <c r="AQ14" s="2">
        <v>132</v>
      </c>
      <c r="AR14" s="2">
        <v>38</v>
      </c>
      <c r="AS14" s="2">
        <v>55</v>
      </c>
      <c r="AT14" s="2">
        <v>43</v>
      </c>
      <c r="AU14" s="2">
        <v>7</v>
      </c>
      <c r="AV14" s="2">
        <v>14</v>
      </c>
      <c r="AW14" s="2">
        <v>6</v>
      </c>
      <c r="AX14" s="2">
        <v>60</v>
      </c>
      <c r="AY14" s="2">
        <v>25</v>
      </c>
      <c r="AZ14" s="2">
        <v>15</v>
      </c>
      <c r="BA14" s="2">
        <v>99</v>
      </c>
      <c r="BB14" s="2">
        <v>9</v>
      </c>
      <c r="BC14" s="2">
        <v>27</v>
      </c>
      <c r="BD14" s="2">
        <v>4</v>
      </c>
      <c r="BE14" s="2">
        <v>3</v>
      </c>
      <c r="BF14" s="2">
        <v>8</v>
      </c>
      <c r="BG14" s="2">
        <v>7</v>
      </c>
      <c r="BH14" s="2">
        <v>1</v>
      </c>
      <c r="BI14" s="2">
        <v>2</v>
      </c>
      <c r="BJ14" s="2">
        <v>0</v>
      </c>
      <c r="BK14" s="2">
        <v>0</v>
      </c>
      <c r="BL14" s="2">
        <v>0</v>
      </c>
      <c r="BM14" s="2">
        <v>1</v>
      </c>
      <c r="BN14" s="2">
        <v>0</v>
      </c>
      <c r="BO14" s="2">
        <f>SUM(Tabla1[[#This Row],[ene-12]:[may-17]])</f>
        <v>3050</v>
      </c>
    </row>
    <row r="15" spans="1:67" ht="105.75" customHeight="1" x14ac:dyDescent="0.25">
      <c r="A15" s="1" t="s">
        <v>78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2</v>
      </c>
      <c r="AJ15" s="2">
        <v>1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2</v>
      </c>
      <c r="AV15" s="2">
        <v>0</v>
      </c>
      <c r="AW15" s="2">
        <v>1</v>
      </c>
      <c r="AX15" s="2">
        <v>0</v>
      </c>
      <c r="AY15" s="2">
        <v>0</v>
      </c>
      <c r="AZ15" s="2">
        <v>1</v>
      </c>
      <c r="BA15" s="2">
        <v>0</v>
      </c>
      <c r="BB15" s="2">
        <v>2</v>
      </c>
      <c r="BC15" s="2">
        <v>11</v>
      </c>
      <c r="BD15" s="2">
        <v>5</v>
      </c>
      <c r="BE15" s="2">
        <v>2</v>
      </c>
      <c r="BF15" s="2">
        <v>0</v>
      </c>
      <c r="BG15" s="2">
        <v>1</v>
      </c>
      <c r="BH15" s="2">
        <v>0</v>
      </c>
      <c r="BI15" s="2">
        <v>11</v>
      </c>
      <c r="BJ15" s="2">
        <v>1</v>
      </c>
      <c r="BK15" s="2">
        <v>0</v>
      </c>
      <c r="BL15" s="2">
        <v>3</v>
      </c>
      <c r="BM15" s="2">
        <v>4</v>
      </c>
      <c r="BN15" s="2">
        <v>2</v>
      </c>
      <c r="BO15" s="2">
        <f>SUM(Tabla1[[#This Row],[ene-12]:[may-17]])</f>
        <v>49</v>
      </c>
    </row>
    <row r="16" spans="1:67" ht="105.75" customHeight="1" x14ac:dyDescent="0.25">
      <c r="A16" s="1" t="s">
        <v>79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7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8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f>SUM(Tabla1[[#This Row],[ene-12]:[may-17]])</f>
        <v>15</v>
      </c>
    </row>
    <row r="17" spans="1:67" ht="105.75" customHeight="1" x14ac:dyDescent="0.25">
      <c r="A17" s="1" t="s">
        <v>80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1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f>SUM(Tabla1[[#This Row],[ene-12]:[may-17]])</f>
        <v>1</v>
      </c>
    </row>
    <row r="18" spans="1:67" ht="105.75" customHeight="1" x14ac:dyDescent="0.25">
      <c r="A18" s="1" t="s">
        <v>81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1</v>
      </c>
      <c r="AY18" s="2">
        <v>0</v>
      </c>
      <c r="AZ18" s="2">
        <v>0</v>
      </c>
      <c r="BA18" s="2">
        <v>2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f>SUM(Tabla1[[#This Row],[ene-12]:[may-17]])</f>
        <v>3</v>
      </c>
    </row>
    <row r="19" spans="1:67" ht="105.75" customHeight="1" x14ac:dyDescent="0.25">
      <c r="A19" s="1" t="s">
        <v>82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1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f>SUM(Tabla1[[#This Row],[ene-12]:[may-17]])</f>
        <v>1</v>
      </c>
    </row>
    <row r="20" spans="1:67" ht="105.75" customHeight="1" x14ac:dyDescent="0.25">
      <c r="A20" s="1" t="s">
        <v>114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f>SUM(Tabla1[[#This Row],[ene-12]:[may-17]])</f>
        <v>0</v>
      </c>
    </row>
    <row r="21" spans="1:67" ht="105.75" customHeight="1" x14ac:dyDescent="0.25">
      <c r="A21" s="1" t="s">
        <v>83</v>
      </c>
      <c r="B21" s="2">
        <v>49</v>
      </c>
      <c r="C21" s="2">
        <v>74</v>
      </c>
      <c r="D21" s="2">
        <v>28</v>
      </c>
      <c r="E21" s="2">
        <v>62</v>
      </c>
      <c r="F21" s="2">
        <v>44</v>
      </c>
      <c r="G21" s="2">
        <v>136</v>
      </c>
      <c r="H21" s="2">
        <v>103</v>
      </c>
      <c r="I21" s="2">
        <v>28</v>
      </c>
      <c r="J21" s="2">
        <v>272</v>
      </c>
      <c r="K21" s="2">
        <v>31</v>
      </c>
      <c r="L21" s="2">
        <v>31</v>
      </c>
      <c r="M21" s="2">
        <v>46</v>
      </c>
      <c r="N21" s="2">
        <v>83</v>
      </c>
      <c r="O21" s="2">
        <v>33</v>
      </c>
      <c r="P21" s="2">
        <v>134</v>
      </c>
      <c r="Q21" s="2">
        <v>83</v>
      </c>
      <c r="R21" s="2">
        <v>110</v>
      </c>
      <c r="S21" s="2">
        <v>98</v>
      </c>
      <c r="T21" s="2">
        <v>128</v>
      </c>
      <c r="U21" s="2">
        <v>28</v>
      </c>
      <c r="V21" s="2">
        <v>71</v>
      </c>
      <c r="W21" s="2">
        <v>120</v>
      </c>
      <c r="X21" s="2">
        <v>112</v>
      </c>
      <c r="Y21" s="2">
        <v>185</v>
      </c>
      <c r="Z21" s="2">
        <v>57</v>
      </c>
      <c r="AA21" s="2">
        <v>56</v>
      </c>
      <c r="AB21" s="2">
        <v>66</v>
      </c>
      <c r="AC21" s="2">
        <v>96</v>
      </c>
      <c r="AD21" s="2">
        <v>99</v>
      </c>
      <c r="AE21" s="2">
        <v>47</v>
      </c>
      <c r="AF21" s="2">
        <v>152</v>
      </c>
      <c r="AG21" s="2">
        <v>76</v>
      </c>
      <c r="AH21" s="2">
        <v>76</v>
      </c>
      <c r="AI21" s="2">
        <v>102</v>
      </c>
      <c r="AJ21" s="2">
        <v>50</v>
      </c>
      <c r="AK21" s="2">
        <v>74</v>
      </c>
      <c r="AL21" s="2">
        <v>76</v>
      </c>
      <c r="AM21" s="2">
        <v>0</v>
      </c>
      <c r="AN21" s="2">
        <v>0</v>
      </c>
      <c r="AO21" s="2">
        <v>0</v>
      </c>
      <c r="AP21" s="2">
        <v>0</v>
      </c>
      <c r="AQ21" s="2">
        <v>198</v>
      </c>
      <c r="AR21" s="2">
        <v>47</v>
      </c>
      <c r="AS21" s="2">
        <v>56</v>
      </c>
      <c r="AT21" s="2">
        <v>70</v>
      </c>
      <c r="AU21" s="2">
        <v>41</v>
      </c>
      <c r="AV21" s="2">
        <v>73</v>
      </c>
      <c r="AW21" s="2">
        <v>36</v>
      </c>
      <c r="AX21" s="2">
        <v>81</v>
      </c>
      <c r="AY21" s="2">
        <v>49</v>
      </c>
      <c r="AZ21" s="2">
        <v>39</v>
      </c>
      <c r="BA21" s="2">
        <v>147</v>
      </c>
      <c r="BB21" s="2">
        <v>34</v>
      </c>
      <c r="BC21" s="2">
        <v>32</v>
      </c>
      <c r="BD21" s="2">
        <v>9</v>
      </c>
      <c r="BE21" s="2">
        <v>7</v>
      </c>
      <c r="BF21" s="2">
        <v>15</v>
      </c>
      <c r="BG21" s="2">
        <v>0</v>
      </c>
      <c r="BH21" s="2">
        <v>6</v>
      </c>
      <c r="BI21" s="2">
        <v>15</v>
      </c>
      <c r="BJ21" s="2">
        <v>2</v>
      </c>
      <c r="BK21" s="2">
        <v>1</v>
      </c>
      <c r="BL21" s="2">
        <v>4</v>
      </c>
      <c r="BM21" s="2">
        <v>4</v>
      </c>
      <c r="BN21" s="2">
        <v>15</v>
      </c>
      <c r="BO21" s="2">
        <f>SUM(Tabla1[[#This Row],[ene-12]:[may-17]])</f>
        <v>4097</v>
      </c>
    </row>
    <row r="22" spans="1:67" ht="105.75" customHeight="1" x14ac:dyDescent="0.25">
      <c r="A22" s="1" t="s">
        <v>84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2</v>
      </c>
      <c r="BD22" s="2">
        <v>1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1</v>
      </c>
      <c r="BL22" s="2">
        <v>0</v>
      </c>
      <c r="BM22" s="2">
        <v>0</v>
      </c>
      <c r="BN22" s="2">
        <v>0</v>
      </c>
      <c r="BO22" s="2">
        <f>SUM(Tabla1[[#This Row],[ene-12]:[may-17]])</f>
        <v>4</v>
      </c>
    </row>
    <row r="23" spans="1:67" ht="105.75" customHeight="1" x14ac:dyDescent="0.25">
      <c r="A23" s="1" t="s">
        <v>85</v>
      </c>
      <c r="B23" s="2">
        <v>635</v>
      </c>
      <c r="C23" s="2">
        <v>525</v>
      </c>
      <c r="D23" s="2">
        <v>550</v>
      </c>
      <c r="E23" s="2">
        <v>452</v>
      </c>
      <c r="F23" s="2">
        <v>596</v>
      </c>
      <c r="G23" s="2">
        <v>950</v>
      </c>
      <c r="H23" s="2">
        <v>575</v>
      </c>
      <c r="I23" s="2">
        <v>493</v>
      </c>
      <c r="J23" s="2">
        <v>599</v>
      </c>
      <c r="K23" s="2">
        <v>437</v>
      </c>
      <c r="L23" s="2">
        <v>462</v>
      </c>
      <c r="M23" s="2">
        <v>416</v>
      </c>
      <c r="N23" s="2">
        <v>585</v>
      </c>
      <c r="O23" s="2">
        <v>892</v>
      </c>
      <c r="P23" s="2">
        <v>1390</v>
      </c>
      <c r="Q23" s="2">
        <v>814</v>
      </c>
      <c r="R23" s="2">
        <v>868</v>
      </c>
      <c r="S23" s="2">
        <v>1076</v>
      </c>
      <c r="T23" s="2">
        <v>904</v>
      </c>
      <c r="U23" s="2">
        <v>835</v>
      </c>
      <c r="V23" s="2">
        <v>1008</v>
      </c>
      <c r="W23" s="2">
        <v>988</v>
      </c>
      <c r="X23" s="2">
        <v>945</v>
      </c>
      <c r="Y23" s="2">
        <v>969</v>
      </c>
      <c r="Z23" s="2">
        <v>837</v>
      </c>
      <c r="AA23" s="2">
        <v>784</v>
      </c>
      <c r="AB23" s="2">
        <v>833</v>
      </c>
      <c r="AC23" s="2">
        <v>389</v>
      </c>
      <c r="AD23" s="2">
        <v>537</v>
      </c>
      <c r="AE23" s="2">
        <v>558</v>
      </c>
      <c r="AF23" s="2">
        <v>508</v>
      </c>
      <c r="AG23" s="2">
        <v>548</v>
      </c>
      <c r="AH23" s="2">
        <v>514</v>
      </c>
      <c r="AI23" s="2">
        <v>692</v>
      </c>
      <c r="AJ23" s="2">
        <v>601</v>
      </c>
      <c r="AK23" s="2">
        <v>547</v>
      </c>
      <c r="AL23" s="2">
        <v>834</v>
      </c>
      <c r="AM23" s="2">
        <v>23</v>
      </c>
      <c r="AN23" s="2">
        <v>0</v>
      </c>
      <c r="AO23" s="2">
        <v>0</v>
      </c>
      <c r="AP23" s="2">
        <v>0</v>
      </c>
      <c r="AQ23" s="2">
        <v>1736</v>
      </c>
      <c r="AR23" s="2">
        <v>634</v>
      </c>
      <c r="AS23" s="2">
        <v>723</v>
      </c>
      <c r="AT23" s="2">
        <v>1021</v>
      </c>
      <c r="AU23" s="2">
        <v>545</v>
      </c>
      <c r="AV23" s="2">
        <v>548</v>
      </c>
      <c r="AW23" s="2">
        <v>327</v>
      </c>
      <c r="AX23" s="2">
        <v>464</v>
      </c>
      <c r="AY23" s="2">
        <v>273</v>
      </c>
      <c r="AZ23" s="2">
        <v>460</v>
      </c>
      <c r="BA23" s="2">
        <v>361</v>
      </c>
      <c r="BB23" s="2">
        <v>416</v>
      </c>
      <c r="BC23" s="2">
        <v>175</v>
      </c>
      <c r="BD23" s="2">
        <v>15</v>
      </c>
      <c r="BE23" s="2">
        <v>11</v>
      </c>
      <c r="BF23" s="2">
        <v>4</v>
      </c>
      <c r="BG23" s="2">
        <v>2</v>
      </c>
      <c r="BH23" s="2">
        <v>1</v>
      </c>
      <c r="BI23" s="2">
        <v>3</v>
      </c>
      <c r="BJ23" s="2">
        <v>5</v>
      </c>
      <c r="BK23" s="2">
        <v>19</v>
      </c>
      <c r="BL23" s="2">
        <v>3</v>
      </c>
      <c r="BM23" s="2">
        <v>2</v>
      </c>
      <c r="BN23" s="2">
        <v>11</v>
      </c>
      <c r="BO23" s="2">
        <f>SUM(Tabla1[[#This Row],[ene-12]:[may-17]])</f>
        <v>33928</v>
      </c>
    </row>
    <row r="24" spans="1:67" ht="105.75" customHeight="1" x14ac:dyDescent="0.25">
      <c r="A24" s="1" t="s">
        <v>86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2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f>SUM(Tabla1[[#This Row],[ene-12]:[may-17]])</f>
        <v>2</v>
      </c>
    </row>
    <row r="25" spans="1:67" ht="105.75" customHeight="1" x14ac:dyDescent="0.25">
      <c r="A25" s="1" t="s">
        <v>87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40</v>
      </c>
      <c r="BK25" s="2">
        <v>0</v>
      </c>
      <c r="BL25" s="2">
        <v>0</v>
      </c>
      <c r="BM25" s="2">
        <v>0</v>
      </c>
      <c r="BN25" s="2">
        <v>0</v>
      </c>
      <c r="BO25" s="2">
        <f>SUM(Tabla1[[#This Row],[ene-12]:[may-17]])</f>
        <v>40</v>
      </c>
    </row>
    <row r="26" spans="1:67" ht="105.75" customHeight="1" x14ac:dyDescent="0.25">
      <c r="A26" s="1" t="s">
        <v>88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12</v>
      </c>
      <c r="AR26" s="2">
        <v>0</v>
      </c>
      <c r="AS26" s="2">
        <v>0</v>
      </c>
      <c r="AT26" s="2">
        <v>0</v>
      </c>
      <c r="AU26" s="2">
        <v>0</v>
      </c>
      <c r="AV26" s="2">
        <v>10</v>
      </c>
      <c r="AW26" s="2">
        <v>10</v>
      </c>
      <c r="AX26" s="2">
        <v>39</v>
      </c>
      <c r="AY26" s="2">
        <v>27</v>
      </c>
      <c r="AZ26" s="2">
        <v>24</v>
      </c>
      <c r="BA26" s="2">
        <v>29</v>
      </c>
      <c r="BB26" s="2">
        <v>14</v>
      </c>
      <c r="BC26" s="2">
        <v>37</v>
      </c>
      <c r="BD26" s="2">
        <v>18</v>
      </c>
      <c r="BE26" s="2">
        <v>13</v>
      </c>
      <c r="BF26" s="2">
        <v>12</v>
      </c>
      <c r="BG26" s="2">
        <v>11</v>
      </c>
      <c r="BH26" s="2">
        <v>9</v>
      </c>
      <c r="BI26" s="2">
        <v>26</v>
      </c>
      <c r="BJ26" s="2">
        <v>5</v>
      </c>
      <c r="BK26" s="2">
        <v>13</v>
      </c>
      <c r="BL26" s="2">
        <v>4</v>
      </c>
      <c r="BM26" s="2">
        <v>23</v>
      </c>
      <c r="BN26" s="2">
        <v>16</v>
      </c>
      <c r="BO26" s="2">
        <f>SUM(Tabla1[[#This Row],[ene-12]:[may-17]])</f>
        <v>352</v>
      </c>
    </row>
    <row r="27" spans="1:67" ht="105.75" customHeight="1" x14ac:dyDescent="0.25">
      <c r="A27" s="1" t="s">
        <v>115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f>SUM(Tabla1[[#This Row],[ene-12]:[may-17]])</f>
        <v>0</v>
      </c>
    </row>
    <row r="28" spans="1:67" ht="105.75" customHeight="1" x14ac:dyDescent="0.25">
      <c r="A28" s="1" t="s">
        <v>89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1</v>
      </c>
      <c r="AZ28" s="2">
        <v>0</v>
      </c>
      <c r="BA28" s="2">
        <v>0</v>
      </c>
      <c r="BB28" s="2">
        <v>0</v>
      </c>
      <c r="BC28" s="2">
        <v>0</v>
      </c>
      <c r="BD28" s="2">
        <v>1</v>
      </c>
      <c r="BE28" s="2">
        <v>0</v>
      </c>
      <c r="BF28" s="2">
        <v>0</v>
      </c>
      <c r="BG28" s="2">
        <v>0</v>
      </c>
      <c r="BH28" s="2">
        <v>0</v>
      </c>
      <c r="BI28" s="2">
        <v>3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f>SUM(Tabla1[[#This Row],[ene-12]:[may-17]])</f>
        <v>5</v>
      </c>
    </row>
    <row r="29" spans="1:67" ht="105.75" customHeight="1" x14ac:dyDescent="0.25">
      <c r="A29" s="1" t="s">
        <v>90</v>
      </c>
      <c r="B29" s="2">
        <v>0</v>
      </c>
      <c r="C29" s="2">
        <v>0</v>
      </c>
      <c r="D29" s="2">
        <v>2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2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12</v>
      </c>
      <c r="AM29" s="2">
        <v>0</v>
      </c>
      <c r="AN29" s="2">
        <v>0</v>
      </c>
      <c r="AO29" s="2">
        <v>0</v>
      </c>
      <c r="AP29" s="2">
        <v>0</v>
      </c>
      <c r="AQ29" s="2">
        <v>50</v>
      </c>
      <c r="AR29" s="2">
        <v>1</v>
      </c>
      <c r="AS29" s="2">
        <v>13</v>
      </c>
      <c r="AT29" s="2">
        <v>5</v>
      </c>
      <c r="AU29" s="2">
        <v>6</v>
      </c>
      <c r="AV29" s="2">
        <v>8</v>
      </c>
      <c r="AW29" s="2">
        <v>9</v>
      </c>
      <c r="AX29" s="2">
        <v>65</v>
      </c>
      <c r="AY29" s="2">
        <v>85</v>
      </c>
      <c r="AZ29" s="2">
        <v>111</v>
      </c>
      <c r="BA29" s="2">
        <v>86</v>
      </c>
      <c r="BB29" s="2">
        <v>86</v>
      </c>
      <c r="BC29" s="2">
        <v>117</v>
      </c>
      <c r="BD29" s="2">
        <v>70</v>
      </c>
      <c r="BE29" s="2">
        <v>62</v>
      </c>
      <c r="BF29" s="2">
        <v>31</v>
      </c>
      <c r="BG29" s="2">
        <v>32</v>
      </c>
      <c r="BH29" s="2">
        <v>19</v>
      </c>
      <c r="BI29" s="2">
        <v>30</v>
      </c>
      <c r="BJ29" s="2">
        <v>35</v>
      </c>
      <c r="BK29" s="2">
        <v>28</v>
      </c>
      <c r="BL29" s="2">
        <v>12</v>
      </c>
      <c r="BM29" s="2">
        <v>21</v>
      </c>
      <c r="BN29" s="2">
        <v>17</v>
      </c>
      <c r="BO29" s="2">
        <f>SUM(Tabla1[[#This Row],[ene-12]:[may-17]])</f>
        <v>1015</v>
      </c>
    </row>
    <row r="30" spans="1:67" ht="105.75" customHeight="1" x14ac:dyDescent="0.25">
      <c r="A30" s="1" t="s">
        <v>91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2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f>SUM(Tabla1[[#This Row],[ene-12]:[may-17]])</f>
        <v>2</v>
      </c>
    </row>
    <row r="31" spans="1:67" ht="105.75" customHeight="1" x14ac:dyDescent="0.25">
      <c r="A31" s="1" t="s">
        <v>92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1</v>
      </c>
      <c r="BD31" s="2">
        <v>0</v>
      </c>
      <c r="BE31" s="2">
        <v>0</v>
      </c>
      <c r="BF31" s="2">
        <v>0</v>
      </c>
      <c r="BG31" s="2">
        <v>1</v>
      </c>
      <c r="BH31" s="2">
        <v>0</v>
      </c>
      <c r="BI31" s="2">
        <v>3</v>
      </c>
      <c r="BJ31" s="2">
        <v>0</v>
      </c>
      <c r="BK31" s="2">
        <v>0</v>
      </c>
      <c r="BL31" s="2">
        <v>0</v>
      </c>
      <c r="BM31" s="2">
        <v>0</v>
      </c>
      <c r="BN31" s="2">
        <v>4</v>
      </c>
      <c r="BO31" s="2">
        <f>SUM(Tabla1[[#This Row],[ene-12]:[may-17]])</f>
        <v>9</v>
      </c>
    </row>
    <row r="32" spans="1:67" ht="105.75" customHeight="1" x14ac:dyDescent="0.25">
      <c r="A32" s="1" t="s">
        <v>93</v>
      </c>
      <c r="B32" s="2">
        <v>0</v>
      </c>
      <c r="C32" s="2">
        <v>0</v>
      </c>
      <c r="D32" s="2">
        <v>0</v>
      </c>
      <c r="E32" s="2">
        <v>5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1</v>
      </c>
      <c r="AY32" s="2">
        <v>10</v>
      </c>
      <c r="AZ32" s="2">
        <v>6</v>
      </c>
      <c r="BA32" s="2">
        <v>2</v>
      </c>
      <c r="BB32" s="2">
        <v>5</v>
      </c>
      <c r="BC32" s="2">
        <v>2</v>
      </c>
      <c r="BD32" s="2">
        <v>2</v>
      </c>
      <c r="BE32" s="2">
        <v>0</v>
      </c>
      <c r="BF32" s="2">
        <v>10</v>
      </c>
      <c r="BG32" s="2">
        <v>0</v>
      </c>
      <c r="BH32" s="2">
        <v>1</v>
      </c>
      <c r="BI32" s="2">
        <v>10</v>
      </c>
      <c r="BJ32" s="2">
        <v>1</v>
      </c>
      <c r="BK32" s="2">
        <v>0</v>
      </c>
      <c r="BL32" s="2">
        <v>0</v>
      </c>
      <c r="BM32" s="2">
        <v>0</v>
      </c>
      <c r="BN32" s="2">
        <v>0</v>
      </c>
      <c r="BO32" s="2">
        <f>SUM(Tabla1[[#This Row],[ene-12]:[may-17]])</f>
        <v>55</v>
      </c>
    </row>
    <row r="33" spans="1:67" ht="105.75" customHeight="1" x14ac:dyDescent="0.25">
      <c r="A33" s="1" t="s">
        <v>94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1</v>
      </c>
      <c r="AU33" s="2">
        <v>2</v>
      </c>
      <c r="AV33" s="2">
        <v>0</v>
      </c>
      <c r="AW33" s="2">
        <v>4</v>
      </c>
      <c r="AX33" s="2">
        <v>6</v>
      </c>
      <c r="AY33" s="2">
        <v>4</v>
      </c>
      <c r="AZ33" s="2">
        <v>2</v>
      </c>
      <c r="BA33" s="2">
        <v>7</v>
      </c>
      <c r="BB33" s="2">
        <v>3</v>
      </c>
      <c r="BC33" s="2">
        <v>1</v>
      </c>
      <c r="BD33" s="2">
        <v>2</v>
      </c>
      <c r="BE33" s="2">
        <v>0</v>
      </c>
      <c r="BF33" s="2">
        <v>1</v>
      </c>
      <c r="BG33" s="2">
        <v>2</v>
      </c>
      <c r="BH33" s="2">
        <v>1</v>
      </c>
      <c r="BI33" s="2">
        <v>0</v>
      </c>
      <c r="BJ33" s="2">
        <v>0</v>
      </c>
      <c r="BK33" s="2">
        <v>0</v>
      </c>
      <c r="BL33" s="2">
        <v>0</v>
      </c>
      <c r="BM33" s="2">
        <v>1</v>
      </c>
      <c r="BN33" s="2">
        <v>0</v>
      </c>
      <c r="BO33" s="2">
        <f>SUM(Tabla1[[#This Row],[ene-12]:[may-17]])</f>
        <v>37</v>
      </c>
    </row>
    <row r="34" spans="1:67" ht="105.75" customHeight="1" x14ac:dyDescent="0.25">
      <c r="A34" s="1" t="s">
        <v>95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6</v>
      </c>
      <c r="AR34" s="2">
        <v>0</v>
      </c>
      <c r="AS34" s="2">
        <v>1</v>
      </c>
      <c r="AT34" s="2">
        <v>3</v>
      </c>
      <c r="AU34" s="2">
        <v>4</v>
      </c>
      <c r="AV34" s="2">
        <v>0</v>
      </c>
      <c r="AW34" s="2">
        <v>2</v>
      </c>
      <c r="AX34" s="2">
        <v>10</v>
      </c>
      <c r="AY34" s="2">
        <v>36</v>
      </c>
      <c r="AZ34" s="2">
        <v>18</v>
      </c>
      <c r="BA34" s="2">
        <v>23</v>
      </c>
      <c r="BB34" s="2">
        <v>18</v>
      </c>
      <c r="BC34" s="2">
        <v>13</v>
      </c>
      <c r="BD34" s="2">
        <v>21</v>
      </c>
      <c r="BE34" s="2">
        <v>7</v>
      </c>
      <c r="BF34" s="2">
        <v>6</v>
      </c>
      <c r="BG34" s="2">
        <v>3</v>
      </c>
      <c r="BH34" s="2">
        <v>2</v>
      </c>
      <c r="BI34" s="2">
        <v>0</v>
      </c>
      <c r="BJ34" s="2">
        <v>1</v>
      </c>
      <c r="BK34" s="2">
        <v>3</v>
      </c>
      <c r="BL34" s="2">
        <v>4</v>
      </c>
      <c r="BM34" s="2">
        <v>7</v>
      </c>
      <c r="BN34" s="2">
        <v>2</v>
      </c>
      <c r="BO34" s="2">
        <f>SUM(Tabla1[[#This Row],[ene-12]:[may-17]])</f>
        <v>190</v>
      </c>
    </row>
    <row r="35" spans="1:67" ht="105.75" customHeight="1" x14ac:dyDescent="0.25">
      <c r="A35" s="1" t="s">
        <v>96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2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15</v>
      </c>
      <c r="AS35" s="2">
        <v>1</v>
      </c>
      <c r="AT35" s="2">
        <v>6</v>
      </c>
      <c r="AU35" s="2">
        <v>0</v>
      </c>
      <c r="AV35" s="2">
        <v>0</v>
      </c>
      <c r="AW35" s="2">
        <v>4</v>
      </c>
      <c r="AX35" s="2">
        <v>0</v>
      </c>
      <c r="AY35" s="2">
        <v>2</v>
      </c>
      <c r="AZ35" s="2">
        <v>6</v>
      </c>
      <c r="BA35" s="2">
        <v>5</v>
      </c>
      <c r="BB35" s="2">
        <v>8</v>
      </c>
      <c r="BC35" s="2">
        <v>3</v>
      </c>
      <c r="BD35" s="2">
        <v>1</v>
      </c>
      <c r="BE35" s="2">
        <v>8</v>
      </c>
      <c r="BF35" s="2">
        <v>1</v>
      </c>
      <c r="BG35" s="2">
        <v>4</v>
      </c>
      <c r="BH35" s="2">
        <v>1</v>
      </c>
      <c r="BI35" s="2">
        <v>0</v>
      </c>
      <c r="BJ35" s="2">
        <v>0</v>
      </c>
      <c r="BK35" s="2">
        <v>1</v>
      </c>
      <c r="BL35" s="2">
        <v>1</v>
      </c>
      <c r="BM35" s="2">
        <v>6</v>
      </c>
      <c r="BN35" s="2">
        <v>1</v>
      </c>
      <c r="BO35" s="2">
        <f>SUM(Tabla1[[#This Row],[ene-12]:[may-17]])</f>
        <v>76</v>
      </c>
    </row>
    <row r="36" spans="1:67" ht="105.75" customHeight="1" x14ac:dyDescent="0.25">
      <c r="A36" s="1" t="s">
        <v>97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1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3</v>
      </c>
      <c r="AR36" s="2">
        <v>0</v>
      </c>
      <c r="AS36" s="2">
        <v>0</v>
      </c>
      <c r="AT36" s="2">
        <v>0</v>
      </c>
      <c r="AU36" s="2">
        <v>2</v>
      </c>
      <c r="AV36" s="2">
        <v>0</v>
      </c>
      <c r="AW36" s="2">
        <v>13</v>
      </c>
      <c r="AX36" s="2">
        <v>2</v>
      </c>
      <c r="AY36" s="2">
        <v>4</v>
      </c>
      <c r="AZ36" s="2">
        <v>1</v>
      </c>
      <c r="BA36" s="2">
        <v>19</v>
      </c>
      <c r="BB36" s="2">
        <v>9</v>
      </c>
      <c r="BC36" s="2">
        <v>0</v>
      </c>
      <c r="BD36" s="2">
        <v>9</v>
      </c>
      <c r="BE36" s="2">
        <v>11</v>
      </c>
      <c r="BF36" s="2">
        <v>5</v>
      </c>
      <c r="BG36" s="2">
        <v>0</v>
      </c>
      <c r="BH36" s="2">
        <v>1</v>
      </c>
      <c r="BI36" s="2">
        <v>0</v>
      </c>
      <c r="BJ36" s="2">
        <v>1</v>
      </c>
      <c r="BK36" s="2">
        <v>4</v>
      </c>
      <c r="BL36" s="2">
        <v>2</v>
      </c>
      <c r="BM36" s="2">
        <v>1</v>
      </c>
      <c r="BN36" s="2">
        <v>4</v>
      </c>
      <c r="BO36" s="2">
        <f>SUM(Tabla1[[#This Row],[ene-12]:[may-17]])</f>
        <v>92</v>
      </c>
    </row>
    <row r="37" spans="1:67" ht="105.75" customHeight="1" x14ac:dyDescent="0.25">
      <c r="A37" s="1" t="s">
        <v>98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3</v>
      </c>
      <c r="AZ37" s="2">
        <v>8</v>
      </c>
      <c r="BA37" s="2">
        <v>0</v>
      </c>
      <c r="BB37" s="2">
        <v>4</v>
      </c>
      <c r="BC37" s="2">
        <v>1</v>
      </c>
      <c r="BD37" s="2">
        <v>6</v>
      </c>
      <c r="BE37" s="2">
        <v>1</v>
      </c>
      <c r="BF37" s="2">
        <v>2</v>
      </c>
      <c r="BG37" s="2">
        <v>0</v>
      </c>
      <c r="BH37" s="2">
        <v>0</v>
      </c>
      <c r="BI37" s="2">
        <v>0</v>
      </c>
      <c r="BJ37" s="2">
        <v>0</v>
      </c>
      <c r="BK37" s="2">
        <v>1</v>
      </c>
      <c r="BL37" s="2">
        <v>1</v>
      </c>
      <c r="BM37" s="2">
        <v>0</v>
      </c>
      <c r="BN37" s="2">
        <v>0</v>
      </c>
      <c r="BO37" s="2">
        <f>SUM(Tabla1[[#This Row],[ene-12]:[may-17]])</f>
        <v>27</v>
      </c>
    </row>
    <row r="38" spans="1:67" ht="105.75" customHeight="1" x14ac:dyDescent="0.25">
      <c r="A38" s="1" t="s">
        <v>99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2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1</v>
      </c>
      <c r="BF38" s="2">
        <v>0</v>
      </c>
      <c r="BG38" s="2">
        <v>0</v>
      </c>
      <c r="BH38" s="2">
        <v>0</v>
      </c>
      <c r="BI38" s="2">
        <v>2</v>
      </c>
      <c r="BJ38" s="2">
        <v>0</v>
      </c>
      <c r="BK38" s="2">
        <v>3</v>
      </c>
      <c r="BL38" s="2">
        <v>3</v>
      </c>
      <c r="BM38" s="2">
        <v>0</v>
      </c>
      <c r="BN38" s="2">
        <v>0</v>
      </c>
      <c r="BO38" s="2">
        <f>SUM(Tabla1[[#This Row],[ene-12]:[may-17]])</f>
        <v>11</v>
      </c>
    </row>
    <row r="39" spans="1:67" ht="105.75" customHeight="1" x14ac:dyDescent="0.25">
      <c r="A39" s="1" t="s">
        <v>100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1</v>
      </c>
      <c r="AW39" s="2">
        <v>0</v>
      </c>
      <c r="AX39" s="2">
        <v>10</v>
      </c>
      <c r="AY39" s="2">
        <v>5</v>
      </c>
      <c r="AZ39" s="2">
        <v>0</v>
      </c>
      <c r="BA39" s="2">
        <v>2</v>
      </c>
      <c r="BB39" s="2">
        <v>9</v>
      </c>
      <c r="BC39" s="2">
        <v>1</v>
      </c>
      <c r="BD39" s="2">
        <v>1</v>
      </c>
      <c r="BE39" s="2">
        <v>3</v>
      </c>
      <c r="BF39" s="2">
        <v>2</v>
      </c>
      <c r="BG39" s="2">
        <v>1</v>
      </c>
      <c r="BH39" s="2">
        <v>0</v>
      </c>
      <c r="BI39" s="2">
        <v>1</v>
      </c>
      <c r="BJ39" s="2">
        <v>0</v>
      </c>
      <c r="BK39" s="2">
        <v>0</v>
      </c>
      <c r="BL39" s="2">
        <v>0</v>
      </c>
      <c r="BM39" s="2">
        <v>2</v>
      </c>
      <c r="BN39" s="2">
        <v>0</v>
      </c>
      <c r="BO39" s="2">
        <f>SUM(Tabla1[[#This Row],[ene-12]:[may-17]])</f>
        <v>38</v>
      </c>
    </row>
    <row r="40" spans="1:67" ht="105.75" customHeight="1" x14ac:dyDescent="0.25">
      <c r="A40" s="1" t="s">
        <v>101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2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3</v>
      </c>
      <c r="AV40" s="2">
        <v>0</v>
      </c>
      <c r="AW40" s="2">
        <v>1</v>
      </c>
      <c r="AX40" s="2">
        <v>3</v>
      </c>
      <c r="AY40" s="2">
        <v>1</v>
      </c>
      <c r="AZ40" s="2">
        <v>0</v>
      </c>
      <c r="BA40" s="2">
        <v>0</v>
      </c>
      <c r="BB40" s="2">
        <v>0</v>
      </c>
      <c r="BC40" s="2">
        <v>0</v>
      </c>
      <c r="BD40" s="2">
        <v>3</v>
      </c>
      <c r="BE40" s="2">
        <v>5</v>
      </c>
      <c r="BF40" s="2">
        <v>4</v>
      </c>
      <c r="BG40" s="2">
        <v>1</v>
      </c>
      <c r="BH40" s="2">
        <v>0</v>
      </c>
      <c r="BI40" s="2">
        <v>0</v>
      </c>
      <c r="BJ40" s="2">
        <v>2</v>
      </c>
      <c r="BK40" s="2">
        <v>0</v>
      </c>
      <c r="BL40" s="2">
        <v>0</v>
      </c>
      <c r="BM40" s="2">
        <v>0</v>
      </c>
      <c r="BN40" s="2">
        <v>0</v>
      </c>
      <c r="BO40" s="2">
        <f>SUM(Tabla1[[#This Row],[ene-12]:[may-17]])</f>
        <v>25</v>
      </c>
    </row>
    <row r="41" spans="1:67" ht="105.75" customHeight="1" x14ac:dyDescent="0.25">
      <c r="A41" s="1" t="s">
        <v>102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4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4</v>
      </c>
      <c r="AR41" s="2">
        <v>0</v>
      </c>
      <c r="AS41" s="2">
        <v>0</v>
      </c>
      <c r="AT41" s="2">
        <v>2</v>
      </c>
      <c r="AU41" s="2">
        <v>0</v>
      </c>
      <c r="AV41" s="2">
        <v>0</v>
      </c>
      <c r="AW41" s="2">
        <v>0</v>
      </c>
      <c r="AX41" s="2">
        <v>0</v>
      </c>
      <c r="AY41" s="2">
        <v>2</v>
      </c>
      <c r="AZ41" s="2">
        <v>0</v>
      </c>
      <c r="BA41" s="2">
        <v>0</v>
      </c>
      <c r="BB41" s="2">
        <v>3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f>SUM(Tabla1[[#This Row],[ene-12]:[may-17]])</f>
        <v>15</v>
      </c>
    </row>
    <row r="42" spans="1:67" ht="105.75" customHeight="1" x14ac:dyDescent="0.25">
      <c r="A42" s="1" t="s">
        <v>103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1</v>
      </c>
      <c r="AY42" s="2">
        <v>0</v>
      </c>
      <c r="AZ42" s="2">
        <v>0</v>
      </c>
      <c r="BA42" s="2">
        <v>1</v>
      </c>
      <c r="BB42" s="2">
        <v>0</v>
      </c>
      <c r="BC42" s="2">
        <v>1</v>
      </c>
      <c r="BD42" s="2">
        <v>1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f>SUM(Tabla1[[#This Row],[ene-12]:[may-17]])</f>
        <v>4</v>
      </c>
    </row>
    <row r="43" spans="1:67" ht="105.75" customHeight="1" x14ac:dyDescent="0.25">
      <c r="A43" s="1" t="s">
        <v>104</v>
      </c>
      <c r="B43" s="2">
        <v>11</v>
      </c>
      <c r="C43" s="2">
        <v>30</v>
      </c>
      <c r="D43" s="2">
        <v>8</v>
      </c>
      <c r="E43" s="2">
        <v>31</v>
      </c>
      <c r="F43" s="2">
        <v>11</v>
      </c>
      <c r="G43" s="2">
        <v>0</v>
      </c>
      <c r="H43" s="2">
        <v>93</v>
      </c>
      <c r="I43" s="2">
        <v>24</v>
      </c>
      <c r="J43" s="2">
        <v>37</v>
      </c>
      <c r="K43" s="2">
        <v>8</v>
      </c>
      <c r="L43" s="2">
        <v>21</v>
      </c>
      <c r="M43" s="2">
        <v>2</v>
      </c>
      <c r="N43" s="2">
        <v>24</v>
      </c>
      <c r="O43" s="2">
        <v>20</v>
      </c>
      <c r="P43" s="2">
        <v>54</v>
      </c>
      <c r="Q43" s="2">
        <v>2</v>
      </c>
      <c r="R43" s="2">
        <v>204</v>
      </c>
      <c r="S43" s="2">
        <v>2</v>
      </c>
      <c r="T43" s="2">
        <v>25</v>
      </c>
      <c r="U43" s="2">
        <v>6</v>
      </c>
      <c r="V43" s="2">
        <v>27</v>
      </c>
      <c r="W43" s="2">
        <v>19</v>
      </c>
      <c r="X43" s="2">
        <v>34</v>
      </c>
      <c r="Y43" s="2">
        <v>10</v>
      </c>
      <c r="Z43" s="2">
        <v>36</v>
      </c>
      <c r="AA43" s="2">
        <v>21</v>
      </c>
      <c r="AB43" s="2">
        <v>127</v>
      </c>
      <c r="AC43" s="2">
        <v>22</v>
      </c>
      <c r="AD43" s="2">
        <v>11</v>
      </c>
      <c r="AE43" s="2">
        <v>5</v>
      </c>
      <c r="AF43" s="2">
        <v>37</v>
      </c>
      <c r="AG43" s="2">
        <v>26</v>
      </c>
      <c r="AH43" s="2">
        <v>20</v>
      </c>
      <c r="AI43" s="2">
        <v>10</v>
      </c>
      <c r="AJ43" s="2">
        <v>24</v>
      </c>
      <c r="AK43" s="2">
        <v>24</v>
      </c>
      <c r="AL43" s="2">
        <v>13</v>
      </c>
      <c r="AM43" s="2">
        <v>1</v>
      </c>
      <c r="AN43" s="2">
        <v>1</v>
      </c>
      <c r="AO43" s="2">
        <v>0</v>
      </c>
      <c r="AP43" s="2">
        <v>0</v>
      </c>
      <c r="AQ43" s="2">
        <v>89</v>
      </c>
      <c r="AR43" s="2">
        <v>35</v>
      </c>
      <c r="AS43" s="2">
        <v>14</v>
      </c>
      <c r="AT43" s="2">
        <v>10</v>
      </c>
      <c r="AU43" s="2">
        <v>20</v>
      </c>
      <c r="AV43" s="2">
        <v>13</v>
      </c>
      <c r="AW43" s="2">
        <v>38</v>
      </c>
      <c r="AX43" s="2">
        <v>23</v>
      </c>
      <c r="AY43" s="2">
        <v>36</v>
      </c>
      <c r="AZ43" s="2">
        <v>32</v>
      </c>
      <c r="BA43" s="2">
        <v>7</v>
      </c>
      <c r="BB43" s="2">
        <v>7</v>
      </c>
      <c r="BC43" s="2">
        <v>8</v>
      </c>
      <c r="BD43" s="2">
        <v>1</v>
      </c>
      <c r="BE43" s="2">
        <v>0</v>
      </c>
      <c r="BF43" s="2">
        <v>10</v>
      </c>
      <c r="BG43" s="2">
        <v>1</v>
      </c>
      <c r="BH43" s="2">
        <v>2</v>
      </c>
      <c r="BI43" s="2">
        <v>1</v>
      </c>
      <c r="BJ43" s="2">
        <v>1</v>
      </c>
      <c r="BK43" s="2">
        <v>0</v>
      </c>
      <c r="BL43" s="2">
        <v>0</v>
      </c>
      <c r="BM43" s="2">
        <v>0</v>
      </c>
      <c r="BN43" s="2">
        <v>0</v>
      </c>
      <c r="BO43" s="2">
        <f>SUM(Tabla1[[#This Row],[ene-12]:[may-17]])</f>
        <v>1429</v>
      </c>
    </row>
    <row r="44" spans="1:67" ht="105.75" customHeight="1" x14ac:dyDescent="0.25">
      <c r="A44" s="1" t="s">
        <v>105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1</v>
      </c>
      <c r="AU44" s="2">
        <v>0</v>
      </c>
      <c r="AV44" s="2">
        <v>0</v>
      </c>
      <c r="AW44" s="2">
        <v>1</v>
      </c>
      <c r="AX44" s="2">
        <v>3</v>
      </c>
      <c r="AY44" s="2">
        <v>0</v>
      </c>
      <c r="AZ44" s="2">
        <v>0</v>
      </c>
      <c r="BA44" s="2">
        <v>0</v>
      </c>
      <c r="BB44" s="2">
        <v>0</v>
      </c>
      <c r="BC44" s="2">
        <v>5</v>
      </c>
      <c r="BD44" s="2">
        <v>12</v>
      </c>
      <c r="BE44" s="2">
        <v>5</v>
      </c>
      <c r="BF44" s="2">
        <v>0</v>
      </c>
      <c r="BG44" s="2">
        <v>3</v>
      </c>
      <c r="BH44" s="2">
        <v>0</v>
      </c>
      <c r="BI44" s="2">
        <v>5</v>
      </c>
      <c r="BJ44" s="2">
        <v>0</v>
      </c>
      <c r="BK44" s="2">
        <v>1</v>
      </c>
      <c r="BL44" s="2">
        <v>0</v>
      </c>
      <c r="BM44" s="2">
        <v>0</v>
      </c>
      <c r="BN44" s="2">
        <v>0</v>
      </c>
      <c r="BO44" s="2">
        <f>SUM(Tabla1[[#This Row],[ene-12]:[may-17]])</f>
        <v>36</v>
      </c>
    </row>
    <row r="45" spans="1:67" ht="105.75" customHeight="1" x14ac:dyDescent="0.25">
      <c r="A45" s="1" t="s">
        <v>106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2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f>SUM(Tabla1[[#This Row],[ene-12]:[may-17]])</f>
        <v>2</v>
      </c>
    </row>
    <row r="46" spans="1:67" ht="105.75" customHeight="1" x14ac:dyDescent="0.25">
      <c r="A46" s="1" t="s">
        <v>119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f>SUM(Tabla1[[#This Row],[ene-12]:[may-17]])</f>
        <v>0</v>
      </c>
    </row>
    <row r="47" spans="1:67" ht="105.75" customHeight="1" x14ac:dyDescent="0.25">
      <c r="A47" s="1" t="s">
        <v>107</v>
      </c>
      <c r="B47" s="2">
        <v>19</v>
      </c>
      <c r="C47" s="2">
        <v>23</v>
      </c>
      <c r="D47" s="2">
        <v>17</v>
      </c>
      <c r="E47" s="2">
        <v>8</v>
      </c>
      <c r="F47" s="2">
        <v>16</v>
      </c>
      <c r="G47" s="2">
        <v>36</v>
      </c>
      <c r="H47" s="2">
        <v>41</v>
      </c>
      <c r="I47" s="2">
        <v>20</v>
      </c>
      <c r="J47" s="2">
        <v>11</v>
      </c>
      <c r="K47" s="2">
        <v>9</v>
      </c>
      <c r="L47" s="2">
        <v>5</v>
      </c>
      <c r="M47" s="2">
        <v>9</v>
      </c>
      <c r="N47" s="2">
        <v>26</v>
      </c>
      <c r="O47" s="2">
        <v>22</v>
      </c>
      <c r="P47" s="2">
        <v>46</v>
      </c>
      <c r="Q47" s="2">
        <v>20</v>
      </c>
      <c r="R47" s="2">
        <v>21</v>
      </c>
      <c r="S47" s="2">
        <v>31</v>
      </c>
      <c r="T47" s="2">
        <v>20</v>
      </c>
      <c r="U47" s="2">
        <v>17</v>
      </c>
      <c r="V47" s="2">
        <v>20</v>
      </c>
      <c r="W47" s="2">
        <v>24</v>
      </c>
      <c r="X47" s="2">
        <v>22</v>
      </c>
      <c r="Y47" s="2">
        <v>17</v>
      </c>
      <c r="Z47" s="2">
        <v>116</v>
      </c>
      <c r="AA47" s="2">
        <v>27</v>
      </c>
      <c r="AB47" s="2">
        <v>12</v>
      </c>
      <c r="AC47" s="2">
        <v>18</v>
      </c>
      <c r="AD47" s="2">
        <v>9</v>
      </c>
      <c r="AE47" s="2">
        <v>9</v>
      </c>
      <c r="AF47" s="2">
        <v>10</v>
      </c>
      <c r="AG47" s="2">
        <v>20</v>
      </c>
      <c r="AH47" s="2">
        <v>16</v>
      </c>
      <c r="AI47" s="2">
        <v>24</v>
      </c>
      <c r="AJ47" s="2">
        <v>19</v>
      </c>
      <c r="AK47" s="2">
        <v>12</v>
      </c>
      <c r="AL47" s="2">
        <v>33</v>
      </c>
      <c r="AM47" s="2">
        <v>0</v>
      </c>
      <c r="AN47" s="2">
        <v>0</v>
      </c>
      <c r="AO47" s="2">
        <v>0</v>
      </c>
      <c r="AP47" s="2">
        <v>0</v>
      </c>
      <c r="AQ47" s="2">
        <v>17</v>
      </c>
      <c r="AR47" s="2">
        <v>15</v>
      </c>
      <c r="AS47" s="2">
        <v>13</v>
      </c>
      <c r="AT47" s="2">
        <v>16</v>
      </c>
      <c r="AU47" s="2">
        <v>5</v>
      </c>
      <c r="AV47" s="2">
        <v>11</v>
      </c>
      <c r="AW47" s="2">
        <v>11</v>
      </c>
      <c r="AX47" s="2">
        <v>13</v>
      </c>
      <c r="AY47" s="2">
        <v>4</v>
      </c>
      <c r="AZ47" s="2">
        <v>10</v>
      </c>
      <c r="BA47" s="2">
        <v>18</v>
      </c>
      <c r="BB47" s="2">
        <v>21</v>
      </c>
      <c r="BC47" s="2">
        <v>7</v>
      </c>
      <c r="BD47" s="2">
        <v>4</v>
      </c>
      <c r="BE47" s="2">
        <v>1</v>
      </c>
      <c r="BF47" s="2">
        <v>0</v>
      </c>
      <c r="BG47" s="2">
        <v>0</v>
      </c>
      <c r="BH47" s="2">
        <v>3</v>
      </c>
      <c r="BI47" s="2">
        <v>1</v>
      </c>
      <c r="BJ47" s="2">
        <v>1</v>
      </c>
      <c r="BK47" s="2">
        <v>2</v>
      </c>
      <c r="BL47" s="2">
        <v>0</v>
      </c>
      <c r="BM47" s="2">
        <v>0</v>
      </c>
      <c r="BN47" s="2">
        <v>3</v>
      </c>
      <c r="BO47" s="2">
        <f>SUM(Tabla1[[#This Row],[ene-12]:[may-17]])</f>
        <v>1001</v>
      </c>
    </row>
    <row r="48" spans="1:67" ht="105.75" customHeight="1" x14ac:dyDescent="0.25">
      <c r="A48" s="1" t="s">
        <v>108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1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f>SUM(Tabla1[[#This Row],[ene-12]:[may-17]])</f>
        <v>1</v>
      </c>
    </row>
    <row r="49" spans="1:67" ht="105.75" customHeight="1" x14ac:dyDescent="0.25">
      <c r="A49" s="1" t="s">
        <v>117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f>SUM(Tabla1[[#This Row],[ene-12]:[may-17]])</f>
        <v>0</v>
      </c>
    </row>
    <row r="50" spans="1:67" ht="105.75" customHeight="1" x14ac:dyDescent="0.25">
      <c r="A50" s="1" t="s">
        <v>109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1</v>
      </c>
      <c r="BD50" s="2">
        <v>0</v>
      </c>
      <c r="BE50" s="2">
        <v>0</v>
      </c>
      <c r="BF50" s="2">
        <v>1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f>SUM(Tabla1[[#This Row],[ene-12]:[may-17]])</f>
        <v>2</v>
      </c>
    </row>
    <row r="51" spans="1:67" ht="105.75" customHeight="1" x14ac:dyDescent="0.25">
      <c r="A51" s="1" t="s">
        <v>110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2</v>
      </c>
      <c r="AM51" s="2">
        <v>0</v>
      </c>
      <c r="AN51" s="2">
        <v>2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3</v>
      </c>
      <c r="BE51" s="2">
        <v>1</v>
      </c>
      <c r="BF51" s="2">
        <v>0</v>
      </c>
      <c r="BG51" s="2">
        <v>0</v>
      </c>
      <c r="BH51" s="2">
        <v>1</v>
      </c>
      <c r="BI51" s="2">
        <v>1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f>SUM(Tabla1[[#This Row],[ene-12]:[may-17]])</f>
        <v>10</v>
      </c>
    </row>
    <row r="52" spans="1:67" ht="105.75" customHeight="1" x14ac:dyDescent="0.25">
      <c r="A52" s="1" t="s">
        <v>118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f>SUM(Tabla1[[#This Row],[ene-12]:[may-17]])</f>
        <v>0</v>
      </c>
    </row>
    <row r="53" spans="1:67" ht="105.75" customHeight="1" x14ac:dyDescent="0.25">
      <c r="A53" s="1" t="s">
        <v>111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1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f>SUM(Tabla1[[#This Row],[ene-12]:[may-17]])</f>
        <v>1</v>
      </c>
    </row>
    <row r="54" spans="1:67" ht="105.75" customHeight="1" x14ac:dyDescent="0.25">
      <c r="A54" s="1" t="s">
        <v>112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1</v>
      </c>
      <c r="AW54" s="2">
        <v>0</v>
      </c>
      <c r="AX54" s="2">
        <v>0</v>
      </c>
      <c r="AY54" s="2">
        <v>1</v>
      </c>
      <c r="AZ54" s="2">
        <v>0</v>
      </c>
      <c r="BA54" s="2">
        <v>0</v>
      </c>
      <c r="BB54" s="2">
        <v>0</v>
      </c>
      <c r="BC54" s="2">
        <v>2</v>
      </c>
      <c r="BD54" s="2">
        <v>0</v>
      </c>
      <c r="BE54" s="2">
        <v>0</v>
      </c>
      <c r="BF54" s="2">
        <v>0</v>
      </c>
      <c r="BG54" s="2">
        <v>4</v>
      </c>
      <c r="BH54" s="2">
        <v>0</v>
      </c>
      <c r="BI54" s="2">
        <v>0</v>
      </c>
      <c r="BJ54" s="2">
        <v>1</v>
      </c>
      <c r="BK54" s="2">
        <v>0</v>
      </c>
      <c r="BL54" s="2">
        <v>0</v>
      </c>
      <c r="BM54" s="2">
        <v>0</v>
      </c>
      <c r="BN54" s="2">
        <v>0</v>
      </c>
      <c r="BO54" s="2">
        <f>SUM(Tabla1[[#This Row],[ene-12]:[may-17]])</f>
        <v>9</v>
      </c>
    </row>
    <row r="55" spans="1:67" ht="105.75" customHeight="1" x14ac:dyDescent="0.25">
      <c r="A55" s="1" t="s">
        <v>113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2</v>
      </c>
      <c r="H55" s="2">
        <v>0</v>
      </c>
      <c r="I55" s="2">
        <v>0</v>
      </c>
      <c r="J55" s="2">
        <v>9</v>
      </c>
      <c r="K55" s="2">
        <v>2</v>
      </c>
      <c r="L55" s="2">
        <v>0</v>
      </c>
      <c r="M55" s="2">
        <v>2</v>
      </c>
      <c r="N55" s="2">
        <v>0</v>
      </c>
      <c r="O55" s="2">
        <v>1</v>
      </c>
      <c r="P55" s="2">
        <v>2</v>
      </c>
      <c r="Q55" s="2">
        <v>0</v>
      </c>
      <c r="R55" s="2">
        <v>0</v>
      </c>
      <c r="S55" s="2">
        <v>1</v>
      </c>
      <c r="T55" s="2">
        <v>3</v>
      </c>
      <c r="U55" s="2">
        <v>2</v>
      </c>
      <c r="V55" s="2">
        <v>3</v>
      </c>
      <c r="W55" s="2">
        <v>1</v>
      </c>
      <c r="X55" s="2">
        <v>1</v>
      </c>
      <c r="Y55" s="2">
        <v>3</v>
      </c>
      <c r="Z55" s="2">
        <v>2</v>
      </c>
      <c r="AA55" s="2">
        <v>0</v>
      </c>
      <c r="AB55" s="2">
        <v>0</v>
      </c>
      <c r="AC55" s="2">
        <v>0</v>
      </c>
      <c r="AD55" s="2">
        <v>1</v>
      </c>
      <c r="AE55" s="2">
        <v>1</v>
      </c>
      <c r="AF55" s="2">
        <v>3</v>
      </c>
      <c r="AG55" s="2">
        <v>3</v>
      </c>
      <c r="AH55" s="2">
        <v>0</v>
      </c>
      <c r="AI55" s="2">
        <v>1</v>
      </c>
      <c r="AJ55" s="2">
        <v>2</v>
      </c>
      <c r="AK55" s="2">
        <v>1</v>
      </c>
      <c r="AL55" s="2">
        <v>1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2</v>
      </c>
      <c r="AS55" s="2">
        <v>0</v>
      </c>
      <c r="AT55" s="2">
        <v>2</v>
      </c>
      <c r="AU55" s="2">
        <v>1</v>
      </c>
      <c r="AV55" s="2">
        <v>1</v>
      </c>
      <c r="AW55" s="2">
        <v>0</v>
      </c>
      <c r="AX55" s="2">
        <v>0</v>
      </c>
      <c r="AY55" s="2">
        <v>1</v>
      </c>
      <c r="AZ55" s="2">
        <v>2</v>
      </c>
      <c r="BA55" s="2">
        <v>6</v>
      </c>
      <c r="BB55" s="2">
        <v>2</v>
      </c>
      <c r="BC55" s="2">
        <v>0</v>
      </c>
      <c r="BD55" s="2">
        <v>0</v>
      </c>
      <c r="BE55" s="2">
        <v>0</v>
      </c>
      <c r="BF55" s="2">
        <v>2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f>SUM(Tabla1[[#This Row],[ene-12]:[may-17]])</f>
        <v>66</v>
      </c>
    </row>
    <row r="56" spans="1:67" ht="37.5" customHeight="1" x14ac:dyDescent="0.25">
      <c r="A56" s="1" t="s">
        <v>3</v>
      </c>
      <c r="B56" s="2">
        <f>SUBTOTAL(109,Tabla1[ene-12])</f>
        <v>769</v>
      </c>
      <c r="C56" s="2">
        <f>SUBTOTAL(109,Tabla1[feb-12])</f>
        <v>770</v>
      </c>
      <c r="D56" s="2">
        <f>SUBTOTAL(109,Tabla1[mar-12])</f>
        <v>647</v>
      </c>
      <c r="E56" s="2">
        <f>SUBTOTAL(109,Tabla1[abr-12])</f>
        <v>586</v>
      </c>
      <c r="F56" s="2">
        <f>SUBTOTAL(109,Tabla1[may-12])</f>
        <v>879</v>
      </c>
      <c r="G56" s="2">
        <f>SUBTOTAL(109,Tabla1[jun-12])</f>
        <v>1190</v>
      </c>
      <c r="H56" s="2">
        <f>SUBTOTAL(109,Tabla1[jul-12])</f>
        <v>874</v>
      </c>
      <c r="I56" s="2">
        <f>SUBTOTAL(109,Tabla1[ago-12])</f>
        <v>612</v>
      </c>
      <c r="J56" s="2">
        <f>SUBTOTAL(109,Tabla1[sep-12])</f>
        <v>1259</v>
      </c>
      <c r="K56" s="2">
        <f>SUBTOTAL(109,Tabla1[oct-12])</f>
        <v>530</v>
      </c>
      <c r="L56" s="2">
        <f>SUBTOTAL(109,Tabla1[nov-12])</f>
        <v>544</v>
      </c>
      <c r="M56" s="2">
        <f>SUBTOTAL(109,Tabla1[dic-12])</f>
        <v>483</v>
      </c>
      <c r="N56" s="2">
        <f>SUBTOTAL(109,Tabla1[ene-13])</f>
        <v>750</v>
      </c>
      <c r="O56" s="2">
        <f>SUBTOTAL(109,Tabla1[feb-13])</f>
        <v>994</v>
      </c>
      <c r="P56" s="2">
        <f>SUBTOTAL(109,Tabla1[mar-13])</f>
        <v>1734</v>
      </c>
      <c r="Q56" s="2">
        <f>SUBTOTAL(109,Tabla1[abr-13])</f>
        <v>999</v>
      </c>
      <c r="R56" s="2">
        <f>SUBTOTAL(109,Tabla1[may-13])</f>
        <v>1321</v>
      </c>
      <c r="S56" s="2">
        <f>SUBTOTAL(109,Tabla1[jun-13])</f>
        <v>1524</v>
      </c>
      <c r="T56" s="2">
        <f>SUBTOTAL(109,Tabla1[jul-13])</f>
        <v>1279</v>
      </c>
      <c r="U56" s="2">
        <f>SUBTOTAL(109,Tabla1[ago-13])</f>
        <v>968</v>
      </c>
      <c r="V56" s="2">
        <f>SUBTOTAL(109,Tabla1[sep-13])</f>
        <v>1188</v>
      </c>
      <c r="W56" s="2">
        <f>SUBTOTAL(109,Tabla1[oct-13])</f>
        <v>1369</v>
      </c>
      <c r="X56" s="2">
        <f>SUBTOTAL(109,Tabla1[nov-13])</f>
        <v>1219</v>
      </c>
      <c r="Y56" s="2">
        <f>SUBTOTAL(109,Tabla1[dic-13])</f>
        <v>1272</v>
      </c>
      <c r="Z56" s="2">
        <f>SUBTOTAL(109,Tabla1[ene-14])</f>
        <v>1147</v>
      </c>
      <c r="AA56" s="2">
        <f>SUBTOTAL(109,Tabla1[feb-14])</f>
        <v>945</v>
      </c>
      <c r="AB56" s="2">
        <f>SUBTOTAL(109,Tabla1[mar-14])</f>
        <v>1358</v>
      </c>
      <c r="AC56" s="2">
        <f>SUBTOTAL(109,Tabla1[abr-14])</f>
        <v>591</v>
      </c>
      <c r="AD56" s="2">
        <f>SUBTOTAL(109,Tabla1[may-14])</f>
        <v>870</v>
      </c>
      <c r="AE56" s="2">
        <f>SUBTOTAL(109,Tabla1[jun-14])</f>
        <v>699</v>
      </c>
      <c r="AF56" s="2">
        <f>SUBTOTAL(109,Tabla1[jul-14])</f>
        <v>859</v>
      </c>
      <c r="AG56" s="2">
        <f>SUBTOTAL(109,Tabla1[ago-14])</f>
        <v>716</v>
      </c>
      <c r="AH56" s="2">
        <f>SUBTOTAL(109,Tabla1[sep-14])</f>
        <v>713</v>
      </c>
      <c r="AI56" s="2">
        <f>SUBTOTAL(109,Tabla1[oct-14])</f>
        <v>943</v>
      </c>
      <c r="AJ56" s="2">
        <f>SUBTOTAL(109,Tabla1[nov-14])</f>
        <v>782</v>
      </c>
      <c r="AK56" s="2">
        <f>SUBTOTAL(109,Tabla1[dic-14])</f>
        <v>727</v>
      </c>
      <c r="AL56" s="2">
        <f>SUBTOTAL(109,Tabla1[ene-15])</f>
        <v>1096</v>
      </c>
      <c r="AM56" s="2">
        <f>SUBTOTAL(109,Tabla1[feb-15])</f>
        <v>48</v>
      </c>
      <c r="AN56" s="2">
        <f>SUBTOTAL(109,Tabla1[mar-15])</f>
        <v>3</v>
      </c>
      <c r="AO56" s="2">
        <f>SUBTOTAL(109,Tabla1[abr-15])</f>
        <v>0</v>
      </c>
      <c r="AP56" s="2">
        <f>SUBTOTAL(109,Tabla1[may-15])</f>
        <v>0</v>
      </c>
      <c r="AQ56" s="2">
        <f>SUBTOTAL(109,Tabla1[jun-15])</f>
        <v>2435</v>
      </c>
      <c r="AR56" s="2">
        <f>SUBTOTAL(109,Tabla1[jul-15])</f>
        <v>841</v>
      </c>
      <c r="AS56" s="2">
        <f>SUBTOTAL(109,Tabla1[ago-15])</f>
        <v>947</v>
      </c>
      <c r="AT56" s="2">
        <f>SUBTOTAL(109,Tabla1[sep-15])</f>
        <v>1203</v>
      </c>
      <c r="AU56" s="2">
        <f>SUBTOTAL(109,Tabla1[oct-15])</f>
        <v>704</v>
      </c>
      <c r="AV56" s="2">
        <f>SUBTOTAL(109,Tabla1[nov-15])</f>
        <v>735</v>
      </c>
      <c r="AW56" s="2">
        <f>SUBTOTAL(109,Tabla1[dic-15])</f>
        <v>494</v>
      </c>
      <c r="AX56" s="2">
        <f>SUBTOTAL(109,Tabla1[ene-16])</f>
        <v>831</v>
      </c>
      <c r="AY56" s="2">
        <f>SUBTOTAL(109,Tabla1[feb-16])</f>
        <v>609</v>
      </c>
      <c r="AZ56" s="2">
        <f>SUBTOTAL(109,Tabla1[mar-16])</f>
        <v>805</v>
      </c>
      <c r="BA56" s="2">
        <f>SUBTOTAL(109,Tabla1[abr-16])</f>
        <v>873</v>
      </c>
      <c r="BB56" s="2">
        <f>SUBTOTAL(109,Tabla1[may-16])</f>
        <v>721</v>
      </c>
      <c r="BC56" s="2">
        <f>SUBTOTAL(109,Tabla1[jun-16])</f>
        <v>487</v>
      </c>
      <c r="BD56" s="2">
        <f>SUBTOTAL(109,Tabla1[jul-16])</f>
        <v>220</v>
      </c>
      <c r="BE56" s="2">
        <f>SUBTOTAL(109,Tabla1[ago-16])</f>
        <v>159</v>
      </c>
      <c r="BF56" s="2">
        <f>SUBTOTAL(109,Tabla1[sep-16])</f>
        <v>127</v>
      </c>
      <c r="BG56" s="2">
        <f>SUBTOTAL(109,Tabla1[oct-16])</f>
        <v>89</v>
      </c>
      <c r="BH56" s="2">
        <f>SUBTOTAL(109,Tabla1[nov-16])</f>
        <v>50</v>
      </c>
      <c r="BI56" s="2">
        <f>SUBTOTAL(109,Tabla1[dic-16])</f>
        <v>134</v>
      </c>
      <c r="BJ56" s="2">
        <f>SUBTOTAL(109,Tabla1[ene-17])</f>
        <v>102</v>
      </c>
      <c r="BK56" s="2">
        <f>SUBTOTAL(109,Tabla1[feb-17])</f>
        <v>92</v>
      </c>
      <c r="BL56" s="2">
        <f>SUBTOTAL(109,Tabla1[mar-17])</f>
        <v>59</v>
      </c>
      <c r="BM56" s="2">
        <f>SUBTOTAL(109,Tabla1[abr-17])</f>
        <v>80</v>
      </c>
      <c r="BN56" s="2">
        <f>SUBTOTAL(109,Tabla1[may-17])</f>
        <v>81</v>
      </c>
      <c r="BO56" s="2">
        <f>SUBTOTAL(109,Tabla1[Total])</f>
        <v>48135</v>
      </c>
    </row>
  </sheetData>
  <pageMargins left="0.70866141732283472" right="0.70866141732283472" top="1.3385826771653544" bottom="0.74803149606299213" header="0.31496062992125984" footer="0.31496062992125984"/>
  <pageSetup scale="60" orientation="landscape" r:id="rId1"/>
  <headerFooter>
    <oddHeader>&amp;C&amp;G
"2017. Año del Centenario de las Constituciones Mexicana y Mexiquense".</oddHeader>
    <oddFooter>&amp;LAv. Independencia Ote. 616. Colonia Santa Clara, Toluca, México
Tel. (722) 226 0494 ext. 15442&amp;RDIRECCIÓN GENERAL DE FINANZAS Y PLANEACIÓN
DIRECCIÓN DE INFORMACIÓN Y ESTADÍSTICA
Pág &amp;P de &amp;N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6"/>
  <sheetViews>
    <sheetView zoomScaleNormal="100" workbookViewId="0">
      <pane xSplit="1" ySplit="6" topLeftCell="B7" activePane="bottomRight" state="frozen"/>
      <selection activeCell="A10" sqref="A10"/>
      <selection pane="topRight" activeCell="A10" sqref="A10"/>
      <selection pane="bottomLeft" activeCell="A10" sqref="A10"/>
      <selection pane="bottomRight" activeCell="B7" sqref="B7"/>
    </sheetView>
  </sheetViews>
  <sheetFormatPr baseColWidth="10" defaultColWidth="0" defaultRowHeight="15" x14ac:dyDescent="0.25"/>
  <cols>
    <col min="1" max="1" width="71.42578125" customWidth="1"/>
    <col min="2" max="67" width="11.42578125" customWidth="1"/>
    <col min="68" max="16384" width="11.42578125" hidden="1"/>
  </cols>
  <sheetData>
    <row r="1" spans="1:67" ht="56.25" x14ac:dyDescent="0.3">
      <c r="A1" s="12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67" ht="3.75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67" ht="15.75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67" ht="15.75" x14ac:dyDescent="0.2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6" spans="1:67" ht="37.5" customHeight="1" x14ac:dyDescent="0.25">
      <c r="A6" s="3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  <c r="AA6" s="4" t="s">
        <v>30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 t="s">
        <v>36</v>
      </c>
      <c r="AH6" s="4" t="s">
        <v>37</v>
      </c>
      <c r="AI6" s="4" t="s">
        <v>38</v>
      </c>
      <c r="AJ6" s="4" t="s">
        <v>39</v>
      </c>
      <c r="AK6" s="4" t="s">
        <v>40</v>
      </c>
      <c r="AL6" s="4" t="s">
        <v>41</v>
      </c>
      <c r="AM6" s="4" t="s">
        <v>42</v>
      </c>
      <c r="AN6" s="4" t="s">
        <v>43</v>
      </c>
      <c r="AO6" s="4" t="s">
        <v>44</v>
      </c>
      <c r="AP6" s="4" t="s">
        <v>45</v>
      </c>
      <c r="AQ6" s="4" t="s">
        <v>46</v>
      </c>
      <c r="AR6" s="4" t="s">
        <v>47</v>
      </c>
      <c r="AS6" s="4" t="s">
        <v>48</v>
      </c>
      <c r="AT6" s="4" t="s">
        <v>49</v>
      </c>
      <c r="AU6" s="4" t="s">
        <v>50</v>
      </c>
      <c r="AV6" s="4" t="s">
        <v>51</v>
      </c>
      <c r="AW6" s="4" t="s">
        <v>52</v>
      </c>
      <c r="AX6" s="4" t="s">
        <v>53</v>
      </c>
      <c r="AY6" s="4" t="s">
        <v>54</v>
      </c>
      <c r="AZ6" s="4" t="s">
        <v>55</v>
      </c>
      <c r="BA6" s="4" t="s">
        <v>56</v>
      </c>
      <c r="BB6" s="4" t="s">
        <v>57</v>
      </c>
      <c r="BC6" s="4" t="s">
        <v>58</v>
      </c>
      <c r="BD6" s="4" t="s">
        <v>59</v>
      </c>
      <c r="BE6" s="4" t="s">
        <v>60</v>
      </c>
      <c r="BF6" s="4" t="s">
        <v>61</v>
      </c>
      <c r="BG6" s="4" t="s">
        <v>62</v>
      </c>
      <c r="BH6" s="4" t="s">
        <v>63</v>
      </c>
      <c r="BI6" s="4" t="s">
        <v>64</v>
      </c>
      <c r="BJ6" s="4" t="s">
        <v>65</v>
      </c>
      <c r="BK6" s="4" t="s">
        <v>66</v>
      </c>
      <c r="BL6" s="4" t="s">
        <v>67</v>
      </c>
      <c r="BM6" s="4" t="s">
        <v>68</v>
      </c>
      <c r="BN6" s="4" t="s">
        <v>69</v>
      </c>
      <c r="BO6" s="4" t="s">
        <v>3</v>
      </c>
    </row>
    <row r="7" spans="1:67" s="9" customFormat="1" ht="105.75" customHeight="1" x14ac:dyDescent="0.25">
      <c r="A7" s="1" t="s">
        <v>70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2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f>SUM(Tabla2[[#This Row],[ene-12]:[may-17]])</f>
        <v>2</v>
      </c>
    </row>
    <row r="8" spans="1:67" s="9" customFormat="1" ht="105.75" customHeight="1" x14ac:dyDescent="0.25">
      <c r="A8" s="1" t="s">
        <v>71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f>SUM(Tabla2[[#This Row],[ene-12]:[may-17]])</f>
        <v>0</v>
      </c>
    </row>
    <row r="9" spans="1:67" s="9" customFormat="1" ht="105.75" customHeight="1" x14ac:dyDescent="0.25">
      <c r="A9" s="1" t="s">
        <v>72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f>SUM(Tabla2[[#This Row],[ene-12]:[may-17]])</f>
        <v>0</v>
      </c>
    </row>
    <row r="10" spans="1:67" s="9" customFormat="1" ht="105.75" customHeight="1" x14ac:dyDescent="0.25">
      <c r="A10" s="1" t="s">
        <v>73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f>SUM(Tabla2[[#This Row],[ene-12]:[may-17]])</f>
        <v>0</v>
      </c>
    </row>
    <row r="11" spans="1:67" s="9" customFormat="1" ht="105.75" customHeight="1" x14ac:dyDescent="0.25">
      <c r="A11" s="1" t="s">
        <v>74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f>SUM(Tabla2[[#This Row],[ene-12]:[may-17]])</f>
        <v>0</v>
      </c>
    </row>
    <row r="12" spans="1:67" s="9" customFormat="1" ht="105.75" customHeight="1" x14ac:dyDescent="0.25">
      <c r="A12" s="1" t="s">
        <v>75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1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f>SUM(Tabla2[[#This Row],[ene-12]:[may-17]])</f>
        <v>1</v>
      </c>
    </row>
    <row r="13" spans="1:67" s="9" customFormat="1" ht="105.75" customHeight="1" x14ac:dyDescent="0.25">
      <c r="A13" s="1" t="s">
        <v>76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f>SUM(Tabla2[[#This Row],[ene-12]:[may-17]])</f>
        <v>0</v>
      </c>
    </row>
    <row r="14" spans="1:67" s="9" customFormat="1" ht="105.75" customHeight="1" x14ac:dyDescent="0.25">
      <c r="A14" s="1" t="s">
        <v>77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1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f>SUM(Tabla2[[#This Row],[ene-12]:[may-17]])</f>
        <v>1</v>
      </c>
    </row>
    <row r="15" spans="1:67" s="9" customFormat="1" ht="105.75" customHeight="1" x14ac:dyDescent="0.25">
      <c r="A15" s="1" t="s">
        <v>78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f>SUM(Tabla2[[#This Row],[ene-12]:[may-17]])</f>
        <v>0</v>
      </c>
    </row>
    <row r="16" spans="1:67" s="9" customFormat="1" ht="105.75" customHeight="1" x14ac:dyDescent="0.25">
      <c r="A16" s="1" t="s">
        <v>79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f>SUM(Tabla2[[#This Row],[ene-12]:[may-17]])</f>
        <v>0</v>
      </c>
    </row>
    <row r="17" spans="1:67" s="9" customFormat="1" ht="105.75" customHeight="1" x14ac:dyDescent="0.25">
      <c r="A17" s="1" t="s">
        <v>80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f>SUM(Tabla2[[#This Row],[ene-12]:[may-17]])</f>
        <v>0</v>
      </c>
    </row>
    <row r="18" spans="1:67" s="9" customFormat="1" ht="105.75" customHeight="1" x14ac:dyDescent="0.25">
      <c r="A18" s="1" t="s">
        <v>81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f>SUM(Tabla2[[#This Row],[ene-12]:[may-17]])</f>
        <v>0</v>
      </c>
    </row>
    <row r="19" spans="1:67" s="9" customFormat="1" ht="105.75" customHeight="1" x14ac:dyDescent="0.25">
      <c r="A19" s="1" t="s">
        <v>82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f>SUM(Tabla2[[#This Row],[ene-12]:[may-17]])</f>
        <v>0</v>
      </c>
    </row>
    <row r="20" spans="1:67" s="9" customFormat="1" ht="105.75" customHeight="1" x14ac:dyDescent="0.25">
      <c r="A20" s="1" t="s">
        <v>114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2</v>
      </c>
      <c r="AX20" s="2">
        <v>1</v>
      </c>
      <c r="AY20" s="2">
        <v>0</v>
      </c>
      <c r="AZ20" s="2">
        <v>0</v>
      </c>
      <c r="BA20" s="2">
        <v>0</v>
      </c>
      <c r="BB20" s="2">
        <v>1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1</v>
      </c>
      <c r="BL20" s="2">
        <v>0</v>
      </c>
      <c r="BM20" s="2">
        <v>0</v>
      </c>
      <c r="BN20" s="2">
        <v>0</v>
      </c>
      <c r="BO20" s="2">
        <f>SUM(Tabla2[[#This Row],[ene-12]:[may-17]])</f>
        <v>5</v>
      </c>
    </row>
    <row r="21" spans="1:67" s="9" customFormat="1" ht="105.75" customHeight="1" x14ac:dyDescent="0.25">
      <c r="A21" s="1" t="s">
        <v>83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1</v>
      </c>
      <c r="BK21" s="2">
        <v>1</v>
      </c>
      <c r="BL21" s="2">
        <v>0</v>
      </c>
      <c r="BM21" s="2">
        <v>0</v>
      </c>
      <c r="BN21" s="2">
        <v>0</v>
      </c>
      <c r="BO21" s="2">
        <f>SUM(Tabla2[[#This Row],[ene-12]:[may-17]])</f>
        <v>2</v>
      </c>
    </row>
    <row r="22" spans="1:67" s="9" customFormat="1" ht="105.75" customHeight="1" x14ac:dyDescent="0.25">
      <c r="A22" s="1" t="s">
        <v>84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f>SUM(Tabla2[[#This Row],[ene-12]:[may-17]])</f>
        <v>0</v>
      </c>
    </row>
    <row r="23" spans="1:67" s="9" customFormat="1" ht="105.75" customHeight="1" x14ac:dyDescent="0.25">
      <c r="A23" s="1" t="s">
        <v>85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2">
        <v>5</v>
      </c>
      <c r="Y23" s="2">
        <v>1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1</v>
      </c>
      <c r="AR23" s="2">
        <v>1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1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8</v>
      </c>
      <c r="BO23" s="2">
        <f>SUM(Tabla2[[#This Row],[ene-12]:[may-17]])</f>
        <v>17</v>
      </c>
    </row>
    <row r="24" spans="1:67" s="9" customFormat="1" ht="105.75" customHeight="1" x14ac:dyDescent="0.25">
      <c r="A24" s="1" t="s">
        <v>86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2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f>SUM(Tabla2[[#This Row],[ene-12]:[may-17]])</f>
        <v>2</v>
      </c>
    </row>
    <row r="25" spans="1:67" s="9" customFormat="1" ht="105.75" customHeight="1" x14ac:dyDescent="0.25">
      <c r="A25" s="1" t="s">
        <v>87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f>SUM(Tabla2[[#This Row],[ene-12]:[may-17]])</f>
        <v>0</v>
      </c>
    </row>
    <row r="26" spans="1:67" s="9" customFormat="1" ht="105.75" customHeight="1" x14ac:dyDescent="0.25">
      <c r="A26" s="1" t="s">
        <v>88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f>SUM(Tabla2[[#This Row],[ene-12]:[may-17]])</f>
        <v>0</v>
      </c>
    </row>
    <row r="27" spans="1:67" s="9" customFormat="1" ht="105.75" customHeight="1" x14ac:dyDescent="0.25">
      <c r="A27" s="1" t="s">
        <v>115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f>SUM(Tabla2[[#This Row],[ene-12]:[may-17]])</f>
        <v>0</v>
      </c>
    </row>
    <row r="28" spans="1:67" s="9" customFormat="1" ht="105.75" customHeight="1" x14ac:dyDescent="0.25">
      <c r="A28" s="1" t="s">
        <v>89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f>SUM(Tabla2[[#This Row],[ene-12]:[may-17]])</f>
        <v>0</v>
      </c>
    </row>
    <row r="29" spans="1:67" s="9" customFormat="1" ht="105.75" customHeight="1" x14ac:dyDescent="0.25">
      <c r="A29" s="1" t="s">
        <v>90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2</v>
      </c>
      <c r="BO29" s="2">
        <f>SUM(Tabla2[[#This Row],[ene-12]:[may-17]])</f>
        <v>2</v>
      </c>
    </row>
    <row r="30" spans="1:67" s="9" customFormat="1" ht="105.75" customHeight="1" x14ac:dyDescent="0.25">
      <c r="A30" s="1" t="s">
        <v>91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f>SUM(Tabla2[[#This Row],[ene-12]:[may-17]])</f>
        <v>0</v>
      </c>
    </row>
    <row r="31" spans="1:67" s="9" customFormat="1" ht="105.75" customHeight="1" x14ac:dyDescent="0.25">
      <c r="A31" s="1" t="s">
        <v>92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f>SUM(Tabla2[[#This Row],[ene-12]:[may-17]])</f>
        <v>0</v>
      </c>
    </row>
    <row r="32" spans="1:67" s="9" customFormat="1" ht="105.75" customHeight="1" x14ac:dyDescent="0.25">
      <c r="A32" s="1" t="s">
        <v>93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f>SUM(Tabla2[[#This Row],[ene-12]:[may-17]])</f>
        <v>0</v>
      </c>
    </row>
    <row r="33" spans="1:67" s="9" customFormat="1" ht="105.75" customHeight="1" x14ac:dyDescent="0.25">
      <c r="A33" s="1" t="s">
        <v>94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f>SUM(Tabla2[[#This Row],[ene-12]:[may-17]])</f>
        <v>0</v>
      </c>
    </row>
    <row r="34" spans="1:67" s="9" customFormat="1" ht="105.75" customHeight="1" x14ac:dyDescent="0.25">
      <c r="A34" s="1" t="s">
        <v>95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f>SUM(Tabla2[[#This Row],[ene-12]:[may-17]])</f>
        <v>0</v>
      </c>
    </row>
    <row r="35" spans="1:67" s="9" customFormat="1" ht="105.75" customHeight="1" x14ac:dyDescent="0.25">
      <c r="A35" s="1" t="s">
        <v>96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1</v>
      </c>
      <c r="BO35" s="2">
        <f>SUM(Tabla2[[#This Row],[ene-12]:[may-17]])</f>
        <v>1</v>
      </c>
    </row>
    <row r="36" spans="1:67" s="9" customFormat="1" ht="105.75" customHeight="1" x14ac:dyDescent="0.25">
      <c r="A36" s="1" t="s">
        <v>97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f>SUM(Tabla2[[#This Row],[ene-12]:[may-17]])</f>
        <v>2</v>
      </c>
    </row>
    <row r="37" spans="1:67" s="9" customFormat="1" ht="105.75" customHeight="1" x14ac:dyDescent="0.25">
      <c r="A37" s="1" t="s">
        <v>98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f>SUM(Tabla2[[#This Row],[ene-12]:[may-17]])</f>
        <v>0</v>
      </c>
    </row>
    <row r="38" spans="1:67" s="9" customFormat="1" ht="105.75" customHeight="1" x14ac:dyDescent="0.25">
      <c r="A38" s="1" t="s">
        <v>99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f>SUM(Tabla2[[#This Row],[ene-12]:[may-17]])</f>
        <v>0</v>
      </c>
    </row>
    <row r="39" spans="1:67" s="9" customFormat="1" ht="105.75" customHeight="1" x14ac:dyDescent="0.25">
      <c r="A39" s="1" t="s">
        <v>100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f>SUM(Tabla2[[#This Row],[ene-12]:[may-17]])</f>
        <v>0</v>
      </c>
    </row>
    <row r="40" spans="1:67" s="9" customFormat="1" ht="105.75" customHeight="1" x14ac:dyDescent="0.25">
      <c r="A40" s="1" t="s">
        <v>101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6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f>SUM(Tabla2[[#This Row],[ene-12]:[may-17]])</f>
        <v>6</v>
      </c>
    </row>
    <row r="41" spans="1:67" s="9" customFormat="1" ht="105.75" customHeight="1" x14ac:dyDescent="0.25">
      <c r="A41" s="1" t="s">
        <v>102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f>SUM(Tabla2[[#This Row],[ene-12]:[may-17]])</f>
        <v>0</v>
      </c>
    </row>
    <row r="42" spans="1:67" s="9" customFormat="1" ht="105.75" customHeight="1" x14ac:dyDescent="0.25">
      <c r="A42" s="1" t="s">
        <v>103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f>SUM(Tabla2[[#This Row],[ene-12]:[may-17]])</f>
        <v>0</v>
      </c>
    </row>
    <row r="43" spans="1:67" s="9" customFormat="1" ht="105.75" customHeight="1" x14ac:dyDescent="0.25">
      <c r="A43" s="1" t="s">
        <v>104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f>SUM(Tabla2[[#This Row],[ene-12]:[may-17]])</f>
        <v>0</v>
      </c>
    </row>
    <row r="44" spans="1:67" s="9" customFormat="1" ht="105.75" customHeight="1" x14ac:dyDescent="0.25">
      <c r="A44" s="1" t="s">
        <v>105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f>SUM(Tabla2[[#This Row],[ene-12]:[may-17]])</f>
        <v>0</v>
      </c>
    </row>
    <row r="45" spans="1:67" s="9" customFormat="1" ht="105.75" customHeight="1" x14ac:dyDescent="0.25">
      <c r="A45" s="1" t="s">
        <v>106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f>SUM(Tabla2[[#This Row],[ene-12]:[may-17]])</f>
        <v>0</v>
      </c>
    </row>
    <row r="46" spans="1:67" s="9" customFormat="1" ht="105.75" customHeight="1" x14ac:dyDescent="0.25">
      <c r="A46" s="1" t="s">
        <v>119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f>SUM(Tabla2[[#This Row],[ene-12]:[may-17]])</f>
        <v>0</v>
      </c>
    </row>
    <row r="47" spans="1:67" s="9" customFormat="1" ht="105.75" customHeight="1" x14ac:dyDescent="0.25">
      <c r="A47" s="1" t="s">
        <v>107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f>SUM(Tabla2[[#This Row],[ene-12]:[may-17]])</f>
        <v>0</v>
      </c>
    </row>
    <row r="48" spans="1:67" s="9" customFormat="1" ht="105.75" customHeight="1" x14ac:dyDescent="0.25">
      <c r="A48" s="1" t="s">
        <v>108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f>SUM(Tabla2[[#This Row],[ene-12]:[may-17]])</f>
        <v>0</v>
      </c>
    </row>
    <row r="49" spans="1:67" s="9" customFormat="1" ht="105.75" customHeight="1" x14ac:dyDescent="0.25">
      <c r="A49" s="1" t="s">
        <v>117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f>SUM(Tabla2[[#This Row],[ene-12]:[may-17]])</f>
        <v>0</v>
      </c>
    </row>
    <row r="50" spans="1:67" s="9" customFormat="1" ht="105.75" customHeight="1" x14ac:dyDescent="0.25">
      <c r="A50" s="1" t="s">
        <v>109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f>SUM(Tabla2[[#This Row],[ene-12]:[may-17]])</f>
        <v>0</v>
      </c>
    </row>
    <row r="51" spans="1:67" s="9" customFormat="1" ht="105.75" customHeight="1" x14ac:dyDescent="0.25">
      <c r="A51" s="1" t="s">
        <v>110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f>SUM(Tabla2[[#This Row],[ene-12]:[may-17]])</f>
        <v>0</v>
      </c>
    </row>
    <row r="52" spans="1:67" s="9" customFormat="1" ht="105.75" customHeight="1" x14ac:dyDescent="0.25">
      <c r="A52" s="1" t="s">
        <v>118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f>SUM(Tabla2[[#This Row],[ene-12]:[may-17]])</f>
        <v>0</v>
      </c>
    </row>
    <row r="53" spans="1:67" s="9" customFormat="1" ht="105.75" customHeight="1" x14ac:dyDescent="0.25">
      <c r="A53" s="1" t="s">
        <v>111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f>SUM(Tabla2[[#This Row],[ene-12]:[may-17]])</f>
        <v>0</v>
      </c>
    </row>
    <row r="54" spans="1:67" s="9" customFormat="1" ht="105.75" customHeight="1" x14ac:dyDescent="0.25">
      <c r="A54" s="1" t="s">
        <v>112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f>SUM(Tabla2[[#This Row],[ene-12]:[may-17]])</f>
        <v>0</v>
      </c>
    </row>
    <row r="55" spans="1:67" s="9" customFormat="1" ht="105.75" customHeight="1" x14ac:dyDescent="0.25">
      <c r="A55" s="1" t="s">
        <v>113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2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f>SUM(Tabla2[[#This Row],[ene-12]:[may-17]])</f>
        <v>2</v>
      </c>
    </row>
    <row r="56" spans="1:67" s="9" customFormat="1" ht="37.5" customHeight="1" x14ac:dyDescent="0.25">
      <c r="A56" s="9" t="s">
        <v>3</v>
      </c>
      <c r="B56" s="10">
        <f>SUBTOTAL(109,Tabla2[ene-12])</f>
        <v>0</v>
      </c>
      <c r="C56" s="10">
        <f>SUBTOTAL(109,Tabla2[feb-12])</f>
        <v>0</v>
      </c>
      <c r="D56" s="10">
        <f>SUBTOTAL(109,Tabla2[mar-12])</f>
        <v>0</v>
      </c>
      <c r="E56" s="10">
        <f>SUBTOTAL(109,Tabla2[abr-12])</f>
        <v>0</v>
      </c>
      <c r="F56" s="10">
        <f>SUBTOTAL(109,Tabla2[may-12])</f>
        <v>0</v>
      </c>
      <c r="G56" s="10">
        <f>SUBTOTAL(109,Tabla2[jun-12])</f>
        <v>0</v>
      </c>
      <c r="H56" s="10">
        <f>SUBTOTAL(109,Tabla2[jul-12])</f>
        <v>0</v>
      </c>
      <c r="I56" s="10">
        <f>SUBTOTAL(109,Tabla2[ago-12])</f>
        <v>0</v>
      </c>
      <c r="J56" s="10">
        <f>SUBTOTAL(109,Tabla2[sep-12])</f>
        <v>0</v>
      </c>
      <c r="K56" s="10">
        <f>SUBTOTAL(109,Tabla2[oct-12])</f>
        <v>0</v>
      </c>
      <c r="L56" s="10">
        <f>SUBTOTAL(109,Tabla2[nov-12])</f>
        <v>0</v>
      </c>
      <c r="M56" s="10">
        <f>SUBTOTAL(109,Tabla2[dic-12])</f>
        <v>0</v>
      </c>
      <c r="N56" s="10">
        <f>SUBTOTAL(109,Tabla2[ene-13])</f>
        <v>0</v>
      </c>
      <c r="O56" s="10">
        <f>SUBTOTAL(109,Tabla2[feb-13])</f>
        <v>0</v>
      </c>
      <c r="P56" s="10">
        <f>SUBTOTAL(109,Tabla2[mar-13])</f>
        <v>0</v>
      </c>
      <c r="Q56" s="10">
        <f>SUBTOTAL(109,Tabla2[abr-13])</f>
        <v>0</v>
      </c>
      <c r="R56" s="10">
        <f>SUBTOTAL(109,Tabla2[may-13])</f>
        <v>0</v>
      </c>
      <c r="S56" s="10">
        <f>SUBTOTAL(109,Tabla2[jun-13])</f>
        <v>0</v>
      </c>
      <c r="T56" s="10">
        <f>SUBTOTAL(109,Tabla2[jul-13])</f>
        <v>0</v>
      </c>
      <c r="U56" s="10">
        <f>SUBTOTAL(109,Tabla2[ago-13])</f>
        <v>0</v>
      </c>
      <c r="V56" s="10">
        <f>SUBTOTAL(109,Tabla2[sep-13])</f>
        <v>0</v>
      </c>
      <c r="W56" s="10">
        <f>SUBTOTAL(109,Tabla2[oct-13])</f>
        <v>0</v>
      </c>
      <c r="X56" s="10">
        <f>SUBTOTAL(109,Tabla2[nov-13])</f>
        <v>5</v>
      </c>
      <c r="Y56" s="10">
        <f>SUBTOTAL(109,Tabla2[dic-13])</f>
        <v>1</v>
      </c>
      <c r="Z56" s="10">
        <f>SUBTOTAL(109,Tabla2[ene-14])</f>
        <v>0</v>
      </c>
      <c r="AA56" s="10">
        <f>SUBTOTAL(109,Tabla2[feb-14])</f>
        <v>0</v>
      </c>
      <c r="AB56" s="10">
        <f>SUBTOTAL(109,Tabla2[mar-14])</f>
        <v>0</v>
      </c>
      <c r="AC56" s="10">
        <f>SUBTOTAL(109,Tabla2[abr-14])</f>
        <v>0</v>
      </c>
      <c r="AD56" s="10">
        <f>SUBTOTAL(109,Tabla2[may-14])</f>
        <v>0</v>
      </c>
      <c r="AE56" s="10">
        <f>SUBTOTAL(109,Tabla2[jun-14])</f>
        <v>0</v>
      </c>
      <c r="AF56" s="10">
        <f>SUBTOTAL(109,Tabla2[jul-14])</f>
        <v>1</v>
      </c>
      <c r="AG56" s="10">
        <f>SUBTOTAL(109,Tabla2[ago-14])</f>
        <v>0</v>
      </c>
      <c r="AH56" s="10">
        <f>SUBTOTAL(109,Tabla2[sep-14])</f>
        <v>0</v>
      </c>
      <c r="AI56" s="10">
        <f>SUBTOTAL(109,Tabla2[oct-14])</f>
        <v>0</v>
      </c>
      <c r="AJ56" s="10">
        <f>SUBTOTAL(109,Tabla2[nov-14])</f>
        <v>0</v>
      </c>
      <c r="AK56" s="10">
        <f>SUBTOTAL(109,Tabla2[dic-14])</f>
        <v>0</v>
      </c>
      <c r="AL56" s="10">
        <f>SUBTOTAL(109,Tabla2[ene-15])</f>
        <v>0</v>
      </c>
      <c r="AM56" s="10">
        <f>SUBTOTAL(109,Tabla2[feb-15])</f>
        <v>0</v>
      </c>
      <c r="AN56" s="10">
        <f>SUBTOTAL(109,Tabla2[mar-15])</f>
        <v>0</v>
      </c>
      <c r="AO56" s="10">
        <f>SUBTOTAL(109,Tabla2[abr-15])</f>
        <v>0</v>
      </c>
      <c r="AP56" s="10">
        <f>SUBTOTAL(109,Tabla2[may-15])</f>
        <v>0</v>
      </c>
      <c r="AQ56" s="10">
        <f>SUBTOTAL(109,Tabla2[jun-15])</f>
        <v>1</v>
      </c>
      <c r="AR56" s="10">
        <f>SUBTOTAL(109,Tabla2[jul-15])</f>
        <v>1</v>
      </c>
      <c r="AS56" s="10">
        <f>SUBTOTAL(109,Tabla2[ago-15])</f>
        <v>0</v>
      </c>
      <c r="AT56" s="10">
        <f>SUBTOTAL(109,Tabla2[sep-15])</f>
        <v>0</v>
      </c>
      <c r="AU56" s="10">
        <f>SUBTOTAL(109,Tabla2[oct-15])</f>
        <v>0</v>
      </c>
      <c r="AV56" s="10">
        <f>SUBTOTAL(109,Tabla2[nov-15])</f>
        <v>0</v>
      </c>
      <c r="AW56" s="10">
        <f>SUBTOTAL(109,Tabla2[dic-15])</f>
        <v>2</v>
      </c>
      <c r="AX56" s="10">
        <f>SUBTOTAL(109,Tabla2[ene-16])</f>
        <v>1</v>
      </c>
      <c r="AY56" s="10">
        <f>SUBTOTAL(109,Tabla2[feb-16])</f>
        <v>0</v>
      </c>
      <c r="AZ56" s="10">
        <f>SUBTOTAL(109,Tabla2[mar-16])</f>
        <v>0</v>
      </c>
      <c r="BA56" s="10">
        <f>SUBTOTAL(109,Tabla2[abr-16])</f>
        <v>1</v>
      </c>
      <c r="BB56" s="10">
        <f>SUBTOTAL(109,Tabla2[may-16])</f>
        <v>1</v>
      </c>
      <c r="BC56" s="10">
        <f>SUBTOTAL(109,Tabla2[jun-16])</f>
        <v>0</v>
      </c>
      <c r="BD56" s="10">
        <f>SUBTOTAL(109,Tabla2[jul-16])</f>
        <v>0</v>
      </c>
      <c r="BE56" s="10">
        <f>SUBTOTAL(109,Tabla2[ago-16])</f>
        <v>11</v>
      </c>
      <c r="BF56" s="10">
        <f>SUBTOTAL(109,Tabla2[sep-16])</f>
        <v>0</v>
      </c>
      <c r="BG56" s="10">
        <f>SUBTOTAL(109,Tabla2[oct-16])</f>
        <v>0</v>
      </c>
      <c r="BH56" s="10">
        <f>SUBTOTAL(109,Tabla2[nov-16])</f>
        <v>4</v>
      </c>
      <c r="BI56" s="10">
        <f>SUBTOTAL(109,Tabla2[dic-16])</f>
        <v>0</v>
      </c>
      <c r="BJ56" s="10">
        <f>SUBTOTAL(109,Tabla2[ene-17])</f>
        <v>1</v>
      </c>
      <c r="BK56" s="10">
        <f>SUBTOTAL(109,Tabla2[feb-17])</f>
        <v>2</v>
      </c>
      <c r="BL56" s="10">
        <f>SUBTOTAL(109,Tabla2[mar-17])</f>
        <v>0</v>
      </c>
      <c r="BM56" s="10">
        <f>SUBTOTAL(109,Tabla2[abr-17])</f>
        <v>0</v>
      </c>
      <c r="BN56" s="10">
        <f>SUBTOTAL(109,Tabla2[may-17])</f>
        <v>11</v>
      </c>
      <c r="BO56" s="10">
        <f>SUBTOTAL(109,Tabla2[Total])</f>
        <v>43</v>
      </c>
    </row>
  </sheetData>
  <pageMargins left="0.70866141732283472" right="0.70866141732283472" top="1.3385826771653544" bottom="0.74803149606299213" header="0.31496062992125984" footer="0.31496062992125984"/>
  <pageSetup scale="60" orientation="landscape" r:id="rId1"/>
  <headerFooter>
    <oddHeader>&amp;C&amp;G
"2017. Año del Centenario de las Constituciones Mexicana y Mexiquense".</oddHeader>
    <oddFooter>&amp;LAv. Independencia Ote. 616. Colonia Santa Clara, Toluca, México
Tel. (722) 226 0494 ext. 15442&amp;RDIRECCIÓN GENERAL DE FINANZAS Y PLANEACIÓN
DIRECCIÓN DE INFORMACIÓN Y ESTADÍSTICA
Pág &amp;P de &amp;N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zoomScaleNormal="100" workbookViewId="0">
      <pane xSplit="1" ySplit="6" topLeftCell="B7" activePane="bottomRight" state="frozen"/>
      <selection activeCell="A10" sqref="A10"/>
      <selection pane="topRight" activeCell="A10" sqref="A10"/>
      <selection pane="bottomLeft" activeCell="A10" sqref="A10"/>
      <selection pane="bottomRight" activeCell="B7" sqref="B7"/>
    </sheetView>
  </sheetViews>
  <sheetFormatPr baseColWidth="10" defaultColWidth="0" defaultRowHeight="15" x14ac:dyDescent="0.25"/>
  <cols>
    <col min="1" max="1" width="71.42578125" customWidth="1"/>
    <col min="2" max="67" width="11.42578125" customWidth="1"/>
    <col min="68" max="16384" width="11.42578125" hidden="1"/>
  </cols>
  <sheetData>
    <row r="1" spans="1:67" ht="56.25" x14ac:dyDescent="0.3">
      <c r="A1" s="12" t="s">
        <v>123</v>
      </c>
    </row>
    <row r="2" spans="1:67" ht="4.5" customHeight="1" x14ac:dyDescent="0.3">
      <c r="A2" s="7"/>
    </row>
    <row r="3" spans="1:67" ht="15.75" x14ac:dyDescent="0.25">
      <c r="A3" s="6" t="s">
        <v>1</v>
      </c>
    </row>
    <row r="4" spans="1:67" ht="15.75" x14ac:dyDescent="0.25">
      <c r="A4" s="6" t="s">
        <v>2</v>
      </c>
    </row>
    <row r="6" spans="1:67" ht="37.5" customHeight="1" x14ac:dyDescent="0.25">
      <c r="A6" s="3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  <c r="AA6" s="4" t="s">
        <v>30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 t="s">
        <v>36</v>
      </c>
      <c r="AH6" s="4" t="s">
        <v>37</v>
      </c>
      <c r="AI6" s="4" t="s">
        <v>38</v>
      </c>
      <c r="AJ6" s="4" t="s">
        <v>39</v>
      </c>
      <c r="AK6" s="4" t="s">
        <v>40</v>
      </c>
      <c r="AL6" s="4" t="s">
        <v>41</v>
      </c>
      <c r="AM6" s="4" t="s">
        <v>42</v>
      </c>
      <c r="AN6" s="4" t="s">
        <v>43</v>
      </c>
      <c r="AO6" s="4" t="s">
        <v>44</v>
      </c>
      <c r="AP6" s="4" t="s">
        <v>45</v>
      </c>
      <c r="AQ6" s="4" t="s">
        <v>46</v>
      </c>
      <c r="AR6" s="4" t="s">
        <v>47</v>
      </c>
      <c r="AS6" s="4" t="s">
        <v>48</v>
      </c>
      <c r="AT6" s="4" t="s">
        <v>49</v>
      </c>
      <c r="AU6" s="4" t="s">
        <v>50</v>
      </c>
      <c r="AV6" s="4" t="s">
        <v>51</v>
      </c>
      <c r="AW6" s="4" t="s">
        <v>52</v>
      </c>
      <c r="AX6" s="4" t="s">
        <v>53</v>
      </c>
      <c r="AY6" s="4" t="s">
        <v>54</v>
      </c>
      <c r="AZ6" s="4" t="s">
        <v>55</v>
      </c>
      <c r="BA6" s="4" t="s">
        <v>56</v>
      </c>
      <c r="BB6" s="4" t="s">
        <v>57</v>
      </c>
      <c r="BC6" s="4" t="s">
        <v>58</v>
      </c>
      <c r="BD6" s="4" t="s">
        <v>59</v>
      </c>
      <c r="BE6" s="4" t="s">
        <v>60</v>
      </c>
      <c r="BF6" s="4" t="s">
        <v>61</v>
      </c>
      <c r="BG6" s="4" t="s">
        <v>62</v>
      </c>
      <c r="BH6" s="4" t="s">
        <v>63</v>
      </c>
      <c r="BI6" s="4" t="s">
        <v>64</v>
      </c>
      <c r="BJ6" s="4" t="s">
        <v>65</v>
      </c>
      <c r="BK6" s="4" t="s">
        <v>66</v>
      </c>
      <c r="BL6" s="4" t="s">
        <v>67</v>
      </c>
      <c r="BM6" s="4" t="s">
        <v>68</v>
      </c>
      <c r="BN6" s="4" t="s">
        <v>69</v>
      </c>
      <c r="BO6" s="5" t="s">
        <v>3</v>
      </c>
    </row>
    <row r="7" spans="1:67" ht="105.75" customHeight="1" x14ac:dyDescent="0.25">
      <c r="A7" s="1" t="s">
        <v>70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2</v>
      </c>
      <c r="AV7" s="2">
        <v>1</v>
      </c>
      <c r="AW7" s="2">
        <v>0</v>
      </c>
      <c r="AX7" s="2">
        <v>0</v>
      </c>
      <c r="AY7" s="2">
        <v>1</v>
      </c>
      <c r="AZ7" s="2">
        <v>0</v>
      </c>
      <c r="BA7" s="2">
        <v>1</v>
      </c>
      <c r="BB7" s="2">
        <v>1</v>
      </c>
      <c r="BC7" s="2">
        <v>4</v>
      </c>
      <c r="BD7" s="2">
        <v>6</v>
      </c>
      <c r="BE7" s="2">
        <v>1</v>
      </c>
      <c r="BF7" s="2">
        <v>0</v>
      </c>
      <c r="BG7" s="2">
        <v>0</v>
      </c>
      <c r="BH7" s="2">
        <v>1</v>
      </c>
      <c r="BI7" s="2">
        <v>3</v>
      </c>
      <c r="BJ7" s="2">
        <v>0</v>
      </c>
      <c r="BK7" s="2">
        <v>0</v>
      </c>
      <c r="BL7" s="2">
        <v>3</v>
      </c>
      <c r="BM7" s="2">
        <v>0</v>
      </c>
      <c r="BN7" s="2">
        <v>1</v>
      </c>
      <c r="BO7" s="2">
        <f t="shared" ref="BO7:BO38" si="0">SUM(B7:BN7)</f>
        <v>25</v>
      </c>
    </row>
    <row r="8" spans="1:67" ht="105.75" customHeight="1" x14ac:dyDescent="0.25">
      <c r="A8" s="1" t="s">
        <v>71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f t="shared" si="0"/>
        <v>0</v>
      </c>
    </row>
    <row r="9" spans="1:67" ht="105.75" customHeight="1" x14ac:dyDescent="0.25">
      <c r="A9" s="1" t="s">
        <v>72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f t="shared" si="0"/>
        <v>0</v>
      </c>
    </row>
    <row r="10" spans="1:67" ht="105.75" customHeight="1" x14ac:dyDescent="0.25">
      <c r="A10" s="1" t="s">
        <v>73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f t="shared" si="0"/>
        <v>0</v>
      </c>
    </row>
    <row r="11" spans="1:67" ht="105.75" customHeight="1" x14ac:dyDescent="0.25">
      <c r="A11" s="1" t="s">
        <v>74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f t="shared" si="0"/>
        <v>0</v>
      </c>
    </row>
    <row r="12" spans="1:67" ht="105.75" customHeight="1" x14ac:dyDescent="0.25">
      <c r="A12" s="1" t="s">
        <v>75</v>
      </c>
      <c r="B12" s="2">
        <v>2</v>
      </c>
      <c r="C12" s="2">
        <v>124</v>
      </c>
      <c r="D12" s="2">
        <v>0</v>
      </c>
      <c r="E12" s="2">
        <v>0</v>
      </c>
      <c r="F12" s="2">
        <v>113</v>
      </c>
      <c r="G12" s="2">
        <v>8</v>
      </c>
      <c r="H12" s="2">
        <v>0</v>
      </c>
      <c r="I12" s="2">
        <v>2</v>
      </c>
      <c r="J12" s="2">
        <v>0</v>
      </c>
      <c r="K12" s="2">
        <v>0</v>
      </c>
      <c r="L12" s="2">
        <v>0</v>
      </c>
      <c r="M12" s="2">
        <v>0</v>
      </c>
      <c r="N12" s="2">
        <v>8</v>
      </c>
      <c r="O12" s="2">
        <v>2</v>
      </c>
      <c r="P12" s="2">
        <v>0</v>
      </c>
      <c r="Q12" s="2">
        <v>0</v>
      </c>
      <c r="R12" s="2">
        <v>10</v>
      </c>
      <c r="S12" s="2">
        <v>3</v>
      </c>
      <c r="T12" s="2">
        <v>4</v>
      </c>
      <c r="U12" s="2">
        <v>4</v>
      </c>
      <c r="V12" s="2">
        <v>0</v>
      </c>
      <c r="W12" s="2">
        <v>14</v>
      </c>
      <c r="X12" s="2">
        <v>0</v>
      </c>
      <c r="Y12" s="2">
        <v>2</v>
      </c>
      <c r="Z12" s="2">
        <v>3</v>
      </c>
      <c r="AA12" s="2">
        <v>8</v>
      </c>
      <c r="AB12" s="2">
        <v>2</v>
      </c>
      <c r="AC12" s="2">
        <v>32</v>
      </c>
      <c r="AD12" s="2">
        <v>1</v>
      </c>
      <c r="AE12" s="2">
        <v>1</v>
      </c>
      <c r="AF12" s="2">
        <v>2</v>
      </c>
      <c r="AG12" s="2">
        <v>4</v>
      </c>
      <c r="AH12" s="2">
        <v>4</v>
      </c>
      <c r="AI12" s="2">
        <v>9</v>
      </c>
      <c r="AJ12" s="2">
        <v>0</v>
      </c>
      <c r="AK12" s="2">
        <v>8</v>
      </c>
      <c r="AL12" s="2">
        <v>0</v>
      </c>
      <c r="AM12" s="2">
        <v>4</v>
      </c>
      <c r="AN12" s="2">
        <v>2</v>
      </c>
      <c r="AO12" s="2">
        <v>4</v>
      </c>
      <c r="AP12" s="2">
        <v>5</v>
      </c>
      <c r="AQ12" s="2">
        <v>20</v>
      </c>
      <c r="AR12" s="2">
        <v>12</v>
      </c>
      <c r="AS12" s="2">
        <v>0</v>
      </c>
      <c r="AT12" s="2">
        <v>5</v>
      </c>
      <c r="AU12" s="2">
        <v>5</v>
      </c>
      <c r="AV12" s="2">
        <v>3</v>
      </c>
      <c r="AW12" s="2">
        <v>0</v>
      </c>
      <c r="AX12" s="2">
        <v>40</v>
      </c>
      <c r="AY12" s="2">
        <v>7</v>
      </c>
      <c r="AZ12" s="2">
        <v>0</v>
      </c>
      <c r="BA12" s="2">
        <v>9</v>
      </c>
      <c r="BB12" s="2">
        <v>6</v>
      </c>
      <c r="BC12" s="2">
        <v>1</v>
      </c>
      <c r="BD12" s="2">
        <v>0</v>
      </c>
      <c r="BE12" s="2">
        <v>8</v>
      </c>
      <c r="BF12" s="2">
        <v>4</v>
      </c>
      <c r="BG12" s="2">
        <v>9</v>
      </c>
      <c r="BH12" s="2">
        <v>11</v>
      </c>
      <c r="BI12" s="2">
        <v>7</v>
      </c>
      <c r="BJ12" s="2">
        <v>13</v>
      </c>
      <c r="BK12" s="2">
        <v>1</v>
      </c>
      <c r="BL12" s="2">
        <v>1</v>
      </c>
      <c r="BM12" s="2">
        <v>2</v>
      </c>
      <c r="BN12" s="2">
        <v>4</v>
      </c>
      <c r="BO12" s="2">
        <f t="shared" si="0"/>
        <v>553</v>
      </c>
    </row>
    <row r="13" spans="1:67" ht="105.75" customHeight="1" x14ac:dyDescent="0.25">
      <c r="A13" s="1" t="s">
        <v>76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1</v>
      </c>
      <c r="BC13" s="2">
        <v>0</v>
      </c>
      <c r="BD13" s="2">
        <v>0</v>
      </c>
      <c r="BE13" s="2">
        <v>0</v>
      </c>
      <c r="BF13" s="2">
        <v>2</v>
      </c>
      <c r="BG13" s="2">
        <v>2</v>
      </c>
      <c r="BH13" s="2">
        <v>0</v>
      </c>
      <c r="BI13" s="2">
        <v>11</v>
      </c>
      <c r="BJ13" s="2">
        <v>1</v>
      </c>
      <c r="BK13" s="2">
        <v>0</v>
      </c>
      <c r="BL13" s="2">
        <v>3</v>
      </c>
      <c r="BM13" s="2">
        <v>2</v>
      </c>
      <c r="BN13" s="2">
        <v>2</v>
      </c>
      <c r="BO13" s="2">
        <f t="shared" si="0"/>
        <v>24</v>
      </c>
    </row>
    <row r="14" spans="1:67" ht="105.75" customHeight="1" x14ac:dyDescent="0.25">
      <c r="A14" s="1" t="s">
        <v>77</v>
      </c>
      <c r="B14" s="2">
        <v>56</v>
      </c>
      <c r="C14" s="2">
        <v>305</v>
      </c>
      <c r="D14" s="2">
        <v>155</v>
      </c>
      <c r="E14" s="2">
        <v>122</v>
      </c>
      <c r="F14" s="2">
        <v>153</v>
      </c>
      <c r="G14" s="2">
        <v>47</v>
      </c>
      <c r="H14" s="2">
        <v>28</v>
      </c>
      <c r="I14" s="2">
        <v>59</v>
      </c>
      <c r="J14" s="2">
        <v>76</v>
      </c>
      <c r="K14" s="2">
        <v>70</v>
      </c>
      <c r="L14" s="2">
        <v>44</v>
      </c>
      <c r="M14" s="2">
        <v>47</v>
      </c>
      <c r="N14" s="2">
        <v>78</v>
      </c>
      <c r="O14" s="2">
        <v>108</v>
      </c>
      <c r="P14" s="2">
        <v>320</v>
      </c>
      <c r="Q14" s="2">
        <v>73</v>
      </c>
      <c r="R14" s="2">
        <v>69</v>
      </c>
      <c r="S14" s="2">
        <v>36</v>
      </c>
      <c r="T14" s="2">
        <v>144</v>
      </c>
      <c r="U14" s="2">
        <v>50</v>
      </c>
      <c r="V14" s="2">
        <v>88</v>
      </c>
      <c r="W14" s="2">
        <v>41</v>
      </c>
      <c r="X14" s="2">
        <v>100</v>
      </c>
      <c r="Y14" s="2">
        <v>85</v>
      </c>
      <c r="Z14" s="2">
        <v>31</v>
      </c>
      <c r="AA14" s="2">
        <v>23</v>
      </c>
      <c r="AB14" s="2">
        <v>40</v>
      </c>
      <c r="AC14" s="2">
        <v>62</v>
      </c>
      <c r="AD14" s="2">
        <v>62</v>
      </c>
      <c r="AE14" s="2">
        <v>44</v>
      </c>
      <c r="AF14" s="2">
        <v>43</v>
      </c>
      <c r="AG14" s="2">
        <v>53</v>
      </c>
      <c r="AH14" s="2">
        <v>51</v>
      </c>
      <c r="AI14" s="2">
        <v>69</v>
      </c>
      <c r="AJ14" s="2">
        <v>23</v>
      </c>
      <c r="AK14" s="2">
        <v>82</v>
      </c>
      <c r="AL14" s="2">
        <v>109</v>
      </c>
      <c r="AM14" s="2">
        <v>19</v>
      </c>
      <c r="AN14" s="2">
        <v>13</v>
      </c>
      <c r="AO14" s="2">
        <v>24</v>
      </c>
      <c r="AP14" s="2">
        <v>46</v>
      </c>
      <c r="AQ14" s="2">
        <v>170</v>
      </c>
      <c r="AR14" s="2">
        <v>177</v>
      </c>
      <c r="AS14" s="2">
        <v>32</v>
      </c>
      <c r="AT14" s="2">
        <v>68</v>
      </c>
      <c r="AU14" s="2">
        <v>87</v>
      </c>
      <c r="AV14" s="2">
        <v>87</v>
      </c>
      <c r="AW14" s="2">
        <v>43</v>
      </c>
      <c r="AX14" s="2">
        <v>75</v>
      </c>
      <c r="AY14" s="2">
        <v>72</v>
      </c>
      <c r="AZ14" s="2">
        <v>420</v>
      </c>
      <c r="BA14" s="2">
        <v>54</v>
      </c>
      <c r="BB14" s="2">
        <v>78</v>
      </c>
      <c r="BC14" s="2">
        <v>71</v>
      </c>
      <c r="BD14" s="2">
        <v>30</v>
      </c>
      <c r="BE14" s="2">
        <v>50</v>
      </c>
      <c r="BF14" s="2">
        <v>47</v>
      </c>
      <c r="BG14" s="2">
        <v>105</v>
      </c>
      <c r="BH14" s="2">
        <v>21</v>
      </c>
      <c r="BI14" s="2">
        <v>10</v>
      </c>
      <c r="BJ14" s="2">
        <v>16</v>
      </c>
      <c r="BK14" s="2">
        <v>19</v>
      </c>
      <c r="BL14" s="2">
        <v>16</v>
      </c>
      <c r="BM14" s="2">
        <v>52</v>
      </c>
      <c r="BN14" s="2">
        <v>116</v>
      </c>
      <c r="BO14" s="2">
        <f t="shared" si="0"/>
        <v>5064</v>
      </c>
    </row>
    <row r="15" spans="1:67" ht="105.75" customHeight="1" x14ac:dyDescent="0.25">
      <c r="A15" s="1" t="s">
        <v>78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4</v>
      </c>
      <c r="Y15" s="2">
        <v>0</v>
      </c>
      <c r="Z15" s="2">
        <v>11</v>
      </c>
      <c r="AA15" s="2">
        <v>1</v>
      </c>
      <c r="AB15" s="2">
        <v>0</v>
      </c>
      <c r="AC15" s="2">
        <v>0</v>
      </c>
      <c r="AD15" s="2">
        <v>1</v>
      </c>
      <c r="AE15" s="2">
        <v>1</v>
      </c>
      <c r="AF15" s="2">
        <v>7</v>
      </c>
      <c r="AG15" s="2">
        <v>0</v>
      </c>
      <c r="AH15" s="2">
        <v>12</v>
      </c>
      <c r="AI15" s="2">
        <v>1</v>
      </c>
      <c r="AJ15" s="2">
        <v>1</v>
      </c>
      <c r="AK15" s="2">
        <v>0</v>
      </c>
      <c r="AL15" s="2">
        <v>0</v>
      </c>
      <c r="AM15" s="2">
        <v>2</v>
      </c>
      <c r="AN15" s="2">
        <v>1</v>
      </c>
      <c r="AO15" s="2">
        <v>0</v>
      </c>
      <c r="AP15" s="2">
        <v>1</v>
      </c>
      <c r="AQ15" s="2">
        <v>3</v>
      </c>
      <c r="AR15" s="2">
        <v>0</v>
      </c>
      <c r="AS15" s="2">
        <v>6</v>
      </c>
      <c r="AT15" s="2">
        <v>10</v>
      </c>
      <c r="AU15" s="2">
        <v>9</v>
      </c>
      <c r="AV15" s="2">
        <v>24</v>
      </c>
      <c r="AW15" s="2">
        <v>6</v>
      </c>
      <c r="AX15" s="2">
        <v>9</v>
      </c>
      <c r="AY15" s="2">
        <v>8</v>
      </c>
      <c r="AZ15" s="2">
        <v>5</v>
      </c>
      <c r="BA15" s="2">
        <v>22</v>
      </c>
      <c r="BB15" s="2">
        <v>9</v>
      </c>
      <c r="BC15" s="2">
        <v>24</v>
      </c>
      <c r="BD15" s="2">
        <v>32</v>
      </c>
      <c r="BE15" s="2">
        <v>56</v>
      </c>
      <c r="BF15" s="2">
        <v>42</v>
      </c>
      <c r="BG15" s="2">
        <v>34</v>
      </c>
      <c r="BH15" s="2">
        <v>25</v>
      </c>
      <c r="BI15" s="2">
        <v>34</v>
      </c>
      <c r="BJ15" s="2">
        <v>42</v>
      </c>
      <c r="BK15" s="2">
        <v>28</v>
      </c>
      <c r="BL15" s="2">
        <v>34</v>
      </c>
      <c r="BM15" s="2">
        <v>18</v>
      </c>
      <c r="BN15" s="2">
        <v>67</v>
      </c>
      <c r="BO15" s="2">
        <f t="shared" si="0"/>
        <v>590</v>
      </c>
    </row>
    <row r="16" spans="1:67" ht="105.75" customHeight="1" x14ac:dyDescent="0.25">
      <c r="A16" s="1" t="s">
        <v>79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2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2</v>
      </c>
      <c r="BA16" s="2">
        <v>0</v>
      </c>
      <c r="BB16" s="2">
        <v>0</v>
      </c>
      <c r="BC16" s="2">
        <v>15</v>
      </c>
      <c r="BD16" s="2">
        <v>20</v>
      </c>
      <c r="BE16" s="2">
        <v>4</v>
      </c>
      <c r="BF16" s="2">
        <v>2</v>
      </c>
      <c r="BG16" s="2">
        <v>28</v>
      </c>
      <c r="BH16" s="2">
        <v>1</v>
      </c>
      <c r="BI16" s="2">
        <v>25</v>
      </c>
      <c r="BJ16" s="2">
        <v>4</v>
      </c>
      <c r="BK16" s="2">
        <v>2</v>
      </c>
      <c r="BL16" s="2">
        <v>29</v>
      </c>
      <c r="BM16" s="2">
        <v>0</v>
      </c>
      <c r="BN16" s="2">
        <v>2</v>
      </c>
      <c r="BO16" s="2">
        <f t="shared" si="0"/>
        <v>136</v>
      </c>
    </row>
    <row r="17" spans="1:67" ht="105.75" customHeight="1" x14ac:dyDescent="0.25">
      <c r="A17" s="1" t="s">
        <v>80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2</v>
      </c>
      <c r="BI17" s="2">
        <v>0</v>
      </c>
      <c r="BJ17" s="2">
        <v>1</v>
      </c>
      <c r="BK17" s="2">
        <v>0</v>
      </c>
      <c r="BL17" s="2">
        <v>0</v>
      </c>
      <c r="BM17" s="2">
        <v>0</v>
      </c>
      <c r="BN17" s="2">
        <v>0</v>
      </c>
      <c r="BO17" s="2">
        <f t="shared" si="0"/>
        <v>3</v>
      </c>
    </row>
    <row r="18" spans="1:67" ht="105.75" customHeight="1" x14ac:dyDescent="0.25">
      <c r="A18" s="1" t="s">
        <v>81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f t="shared" si="0"/>
        <v>0</v>
      </c>
    </row>
    <row r="19" spans="1:67" ht="105.75" customHeight="1" x14ac:dyDescent="0.25">
      <c r="A19" s="1" t="s">
        <v>82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1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1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f t="shared" si="0"/>
        <v>2</v>
      </c>
    </row>
    <row r="20" spans="1:67" ht="105.75" customHeight="1" x14ac:dyDescent="0.25">
      <c r="A20" s="1" t="s">
        <v>114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2</v>
      </c>
      <c r="L20" s="2">
        <v>1</v>
      </c>
      <c r="M20" s="2">
        <v>0</v>
      </c>
      <c r="N20" s="2">
        <v>1</v>
      </c>
      <c r="O20" s="2">
        <v>4</v>
      </c>
      <c r="P20" s="2">
        <v>0</v>
      </c>
      <c r="Q20" s="2">
        <v>1</v>
      </c>
      <c r="R20" s="2">
        <v>3</v>
      </c>
      <c r="S20" s="2">
        <v>0</v>
      </c>
      <c r="T20" s="2">
        <v>10</v>
      </c>
      <c r="U20" s="2">
        <v>1</v>
      </c>
      <c r="V20" s="2">
        <v>0</v>
      </c>
      <c r="W20" s="2">
        <v>8</v>
      </c>
      <c r="X20" s="2">
        <v>1</v>
      </c>
      <c r="Y20" s="2">
        <v>4</v>
      </c>
      <c r="Z20" s="2">
        <v>3</v>
      </c>
      <c r="AA20" s="2">
        <v>0</v>
      </c>
      <c r="AB20" s="2">
        <v>3</v>
      </c>
      <c r="AC20" s="2">
        <v>1</v>
      </c>
      <c r="AD20" s="2">
        <v>7</v>
      </c>
      <c r="AE20" s="2">
        <v>4</v>
      </c>
      <c r="AF20" s="2">
        <v>1</v>
      </c>
      <c r="AG20" s="2">
        <v>6</v>
      </c>
      <c r="AH20" s="2">
        <v>0</v>
      </c>
      <c r="AI20" s="2">
        <v>8</v>
      </c>
      <c r="AJ20" s="2">
        <v>4</v>
      </c>
      <c r="AK20" s="2">
        <v>5</v>
      </c>
      <c r="AL20" s="2">
        <v>6</v>
      </c>
      <c r="AM20" s="2">
        <v>0</v>
      </c>
      <c r="AN20" s="2">
        <v>6</v>
      </c>
      <c r="AO20" s="2">
        <v>2</v>
      </c>
      <c r="AP20" s="2">
        <v>0</v>
      </c>
      <c r="AQ20" s="2">
        <v>2</v>
      </c>
      <c r="AR20" s="2">
        <v>0</v>
      </c>
      <c r="AS20" s="2">
        <v>2</v>
      </c>
      <c r="AT20" s="2">
        <v>2</v>
      </c>
      <c r="AU20" s="2">
        <v>4</v>
      </c>
      <c r="AV20" s="2">
        <v>4</v>
      </c>
      <c r="AW20" s="2">
        <v>6</v>
      </c>
      <c r="AX20" s="2">
        <v>7</v>
      </c>
      <c r="AY20" s="2">
        <v>8</v>
      </c>
      <c r="AZ20" s="2">
        <v>3</v>
      </c>
      <c r="BA20" s="2">
        <v>2</v>
      </c>
      <c r="BB20" s="2">
        <v>4</v>
      </c>
      <c r="BC20" s="2">
        <v>3</v>
      </c>
      <c r="BD20" s="2">
        <v>10</v>
      </c>
      <c r="BE20" s="2">
        <v>4</v>
      </c>
      <c r="BF20" s="2">
        <v>5</v>
      </c>
      <c r="BG20" s="2">
        <v>12</v>
      </c>
      <c r="BH20" s="2">
        <v>9</v>
      </c>
      <c r="BI20" s="2">
        <v>6</v>
      </c>
      <c r="BJ20" s="2">
        <v>2</v>
      </c>
      <c r="BK20" s="2">
        <v>24</v>
      </c>
      <c r="BL20" s="2">
        <v>23</v>
      </c>
      <c r="BM20" s="2">
        <v>6</v>
      </c>
      <c r="BN20" s="2">
        <v>6</v>
      </c>
      <c r="BO20" s="2">
        <f t="shared" si="0"/>
        <v>246</v>
      </c>
    </row>
    <row r="21" spans="1:67" ht="105.75" customHeight="1" x14ac:dyDescent="0.25">
      <c r="A21" s="1" t="s">
        <v>83</v>
      </c>
      <c r="B21" s="2">
        <v>22</v>
      </c>
      <c r="C21" s="2">
        <v>0</v>
      </c>
      <c r="D21" s="2">
        <v>11</v>
      </c>
      <c r="E21" s="2">
        <v>21</v>
      </c>
      <c r="F21" s="2">
        <v>3</v>
      </c>
      <c r="G21" s="2">
        <v>26</v>
      </c>
      <c r="H21" s="2">
        <v>10</v>
      </c>
      <c r="I21" s="2">
        <v>0</v>
      </c>
      <c r="J21" s="2">
        <v>92</v>
      </c>
      <c r="K21" s="2">
        <v>12</v>
      </c>
      <c r="L21" s="2">
        <v>11</v>
      </c>
      <c r="M21" s="2">
        <v>4</v>
      </c>
      <c r="N21" s="2">
        <v>2</v>
      </c>
      <c r="O21" s="2">
        <v>3</v>
      </c>
      <c r="P21" s="2">
        <v>3</v>
      </c>
      <c r="Q21" s="2">
        <v>2</v>
      </c>
      <c r="R21" s="2">
        <v>56</v>
      </c>
      <c r="S21" s="2">
        <v>9</v>
      </c>
      <c r="T21" s="2">
        <v>16</v>
      </c>
      <c r="U21" s="2">
        <v>7</v>
      </c>
      <c r="V21" s="2">
        <v>10</v>
      </c>
      <c r="W21" s="2">
        <v>9</v>
      </c>
      <c r="X21" s="2">
        <v>22</v>
      </c>
      <c r="Y21" s="2">
        <v>39</v>
      </c>
      <c r="Z21" s="2">
        <v>5</v>
      </c>
      <c r="AA21" s="2">
        <v>8</v>
      </c>
      <c r="AB21" s="2">
        <v>22</v>
      </c>
      <c r="AC21" s="2">
        <v>21</v>
      </c>
      <c r="AD21" s="2">
        <v>34</v>
      </c>
      <c r="AE21" s="2">
        <v>6</v>
      </c>
      <c r="AF21" s="2">
        <v>10</v>
      </c>
      <c r="AG21" s="2">
        <v>62</v>
      </c>
      <c r="AH21" s="2">
        <v>5</v>
      </c>
      <c r="AI21" s="2">
        <v>14</v>
      </c>
      <c r="AJ21" s="2">
        <v>6</v>
      </c>
      <c r="AK21" s="2">
        <v>56</v>
      </c>
      <c r="AL21" s="2">
        <v>17</v>
      </c>
      <c r="AM21" s="2">
        <v>3</v>
      </c>
      <c r="AN21" s="2">
        <v>5</v>
      </c>
      <c r="AO21" s="2">
        <v>6</v>
      </c>
      <c r="AP21" s="2">
        <v>4</v>
      </c>
      <c r="AQ21" s="2">
        <v>11</v>
      </c>
      <c r="AR21" s="2">
        <v>10</v>
      </c>
      <c r="AS21" s="2">
        <v>5</v>
      </c>
      <c r="AT21" s="2">
        <v>20</v>
      </c>
      <c r="AU21" s="2">
        <v>12</v>
      </c>
      <c r="AV21" s="2">
        <v>53</v>
      </c>
      <c r="AW21" s="2">
        <v>11</v>
      </c>
      <c r="AX21" s="2">
        <v>29</v>
      </c>
      <c r="AY21" s="2">
        <v>12</v>
      </c>
      <c r="AZ21" s="2">
        <v>32</v>
      </c>
      <c r="BA21" s="2">
        <v>26</v>
      </c>
      <c r="BB21" s="2">
        <v>27</v>
      </c>
      <c r="BC21" s="2">
        <v>7</v>
      </c>
      <c r="BD21" s="2">
        <v>38</v>
      </c>
      <c r="BE21" s="2">
        <v>25</v>
      </c>
      <c r="BF21" s="2">
        <v>30</v>
      </c>
      <c r="BG21" s="2">
        <v>15</v>
      </c>
      <c r="BH21" s="2">
        <v>28</v>
      </c>
      <c r="BI21" s="2">
        <v>24</v>
      </c>
      <c r="BJ21" s="2">
        <v>11</v>
      </c>
      <c r="BK21" s="2">
        <v>21</v>
      </c>
      <c r="BL21" s="2">
        <v>19</v>
      </c>
      <c r="BM21" s="2">
        <v>21</v>
      </c>
      <c r="BN21" s="2">
        <v>20</v>
      </c>
      <c r="BO21" s="2">
        <f t="shared" si="0"/>
        <v>1181</v>
      </c>
    </row>
    <row r="22" spans="1:67" ht="105.75" customHeight="1" x14ac:dyDescent="0.25">
      <c r="A22" s="1" t="s">
        <v>84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4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1</v>
      </c>
      <c r="BM22" s="2">
        <v>0</v>
      </c>
      <c r="BN22" s="2">
        <v>0</v>
      </c>
      <c r="BO22" s="2">
        <f t="shared" si="0"/>
        <v>5</v>
      </c>
    </row>
    <row r="23" spans="1:67" ht="105.75" customHeight="1" x14ac:dyDescent="0.25">
      <c r="A23" s="1" t="s">
        <v>85</v>
      </c>
      <c r="B23" s="2">
        <v>39</v>
      </c>
      <c r="C23" s="2">
        <v>37</v>
      </c>
      <c r="D23" s="2">
        <v>86</v>
      </c>
      <c r="E23" s="2">
        <v>57</v>
      </c>
      <c r="F23" s="2">
        <v>43</v>
      </c>
      <c r="G23" s="2">
        <v>65</v>
      </c>
      <c r="H23" s="2">
        <v>374</v>
      </c>
      <c r="I23" s="2">
        <v>78</v>
      </c>
      <c r="J23" s="2">
        <v>64</v>
      </c>
      <c r="K23" s="2">
        <v>58</v>
      </c>
      <c r="L23" s="2">
        <v>93</v>
      </c>
      <c r="M23" s="2">
        <v>37</v>
      </c>
      <c r="N23" s="2">
        <v>64</v>
      </c>
      <c r="O23" s="2">
        <v>56</v>
      </c>
      <c r="P23" s="2">
        <v>274</v>
      </c>
      <c r="Q23" s="2">
        <v>67</v>
      </c>
      <c r="R23" s="2">
        <v>97</v>
      </c>
      <c r="S23" s="2">
        <v>56</v>
      </c>
      <c r="T23" s="2">
        <v>125</v>
      </c>
      <c r="U23" s="2">
        <v>70</v>
      </c>
      <c r="V23" s="2">
        <v>87</v>
      </c>
      <c r="W23" s="2">
        <v>157</v>
      </c>
      <c r="X23" s="2">
        <v>114</v>
      </c>
      <c r="Y23" s="2">
        <v>126</v>
      </c>
      <c r="Z23" s="2">
        <v>87</v>
      </c>
      <c r="AA23" s="2">
        <v>120</v>
      </c>
      <c r="AB23" s="2">
        <v>119</v>
      </c>
      <c r="AC23" s="2">
        <v>52</v>
      </c>
      <c r="AD23" s="2">
        <v>62</v>
      </c>
      <c r="AE23" s="2">
        <v>72</v>
      </c>
      <c r="AF23" s="2">
        <v>76</v>
      </c>
      <c r="AG23" s="2">
        <v>74</v>
      </c>
      <c r="AH23" s="2">
        <v>64</v>
      </c>
      <c r="AI23" s="2">
        <v>73</v>
      </c>
      <c r="AJ23" s="2">
        <v>73</v>
      </c>
      <c r="AK23" s="2">
        <v>53</v>
      </c>
      <c r="AL23" s="2">
        <v>89</v>
      </c>
      <c r="AM23" s="2">
        <v>34</v>
      </c>
      <c r="AN23" s="2">
        <v>5</v>
      </c>
      <c r="AO23" s="2">
        <v>10</v>
      </c>
      <c r="AP23" s="2">
        <v>20</v>
      </c>
      <c r="AQ23" s="2">
        <v>122</v>
      </c>
      <c r="AR23" s="2">
        <v>65</v>
      </c>
      <c r="AS23" s="2">
        <v>84</v>
      </c>
      <c r="AT23" s="2">
        <v>110</v>
      </c>
      <c r="AU23" s="2">
        <v>111</v>
      </c>
      <c r="AV23" s="2">
        <v>85</v>
      </c>
      <c r="AW23" s="2">
        <v>109</v>
      </c>
      <c r="AX23" s="2">
        <v>87</v>
      </c>
      <c r="AY23" s="2">
        <v>55</v>
      </c>
      <c r="AZ23" s="2">
        <v>84</v>
      </c>
      <c r="BA23" s="2">
        <v>252</v>
      </c>
      <c r="BB23" s="2">
        <v>92</v>
      </c>
      <c r="BC23" s="2">
        <v>47</v>
      </c>
      <c r="BD23" s="2">
        <v>33</v>
      </c>
      <c r="BE23" s="2">
        <v>34</v>
      </c>
      <c r="BF23" s="2">
        <v>55</v>
      </c>
      <c r="BG23" s="2">
        <v>54</v>
      </c>
      <c r="BH23" s="2">
        <v>25</v>
      </c>
      <c r="BI23" s="2">
        <v>11</v>
      </c>
      <c r="BJ23" s="2">
        <v>4</v>
      </c>
      <c r="BK23" s="2">
        <v>11</v>
      </c>
      <c r="BL23" s="2">
        <v>10</v>
      </c>
      <c r="BM23" s="2">
        <v>11</v>
      </c>
      <c r="BN23" s="2">
        <v>13</v>
      </c>
      <c r="BO23" s="2">
        <f t="shared" si="0"/>
        <v>4971</v>
      </c>
    </row>
    <row r="24" spans="1:67" ht="105.75" customHeight="1" x14ac:dyDescent="0.25">
      <c r="A24" s="1" t="s">
        <v>86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f t="shared" si="0"/>
        <v>0</v>
      </c>
    </row>
    <row r="25" spans="1:67" ht="105.75" customHeight="1" x14ac:dyDescent="0.25">
      <c r="A25" s="1" t="s">
        <v>87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f t="shared" si="0"/>
        <v>0</v>
      </c>
    </row>
    <row r="26" spans="1:67" ht="105.75" customHeight="1" x14ac:dyDescent="0.25">
      <c r="A26" s="1" t="s">
        <v>88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12</v>
      </c>
      <c r="AZ26" s="2">
        <v>1</v>
      </c>
      <c r="BA26" s="2">
        <v>6</v>
      </c>
      <c r="BB26" s="2">
        <v>41</v>
      </c>
      <c r="BC26" s="2">
        <v>7</v>
      </c>
      <c r="BD26" s="2">
        <v>16</v>
      </c>
      <c r="BE26" s="2">
        <v>7</v>
      </c>
      <c r="BF26" s="2">
        <v>15</v>
      </c>
      <c r="BG26" s="2">
        <v>22</v>
      </c>
      <c r="BH26" s="2">
        <v>5</v>
      </c>
      <c r="BI26" s="2">
        <v>11</v>
      </c>
      <c r="BJ26" s="2">
        <v>18</v>
      </c>
      <c r="BK26" s="2">
        <v>24</v>
      </c>
      <c r="BL26" s="2">
        <v>5</v>
      </c>
      <c r="BM26" s="2">
        <v>22</v>
      </c>
      <c r="BN26" s="2">
        <v>23</v>
      </c>
      <c r="BO26" s="2">
        <f t="shared" si="0"/>
        <v>235</v>
      </c>
    </row>
    <row r="27" spans="1:67" ht="105.75" customHeight="1" x14ac:dyDescent="0.25">
      <c r="A27" s="1" t="s">
        <v>115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9</v>
      </c>
      <c r="BE27" s="2">
        <v>1</v>
      </c>
      <c r="BF27" s="2">
        <v>0</v>
      </c>
      <c r="BG27" s="2">
        <v>0</v>
      </c>
      <c r="BH27" s="2">
        <v>5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f t="shared" si="0"/>
        <v>15</v>
      </c>
    </row>
    <row r="28" spans="1:67" ht="105.75" customHeight="1" x14ac:dyDescent="0.25">
      <c r="A28" s="1" t="s">
        <v>89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f t="shared" si="0"/>
        <v>0</v>
      </c>
    </row>
    <row r="29" spans="1:67" ht="105.75" customHeight="1" x14ac:dyDescent="0.25">
      <c r="A29" s="1" t="s">
        <v>90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152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3</v>
      </c>
      <c r="O29" s="2">
        <v>0</v>
      </c>
      <c r="P29" s="2">
        <v>54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3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18</v>
      </c>
      <c r="AR29" s="2">
        <v>0</v>
      </c>
      <c r="AS29" s="2">
        <v>0</v>
      </c>
      <c r="AT29" s="2">
        <v>0</v>
      </c>
      <c r="AU29" s="2">
        <v>0</v>
      </c>
      <c r="AV29" s="2">
        <v>3</v>
      </c>
      <c r="AW29" s="2">
        <v>1</v>
      </c>
      <c r="AX29" s="2">
        <v>2</v>
      </c>
      <c r="AY29" s="2">
        <v>6</v>
      </c>
      <c r="AZ29" s="2">
        <v>0</v>
      </c>
      <c r="BA29" s="2">
        <v>8</v>
      </c>
      <c r="BB29" s="2">
        <v>31</v>
      </c>
      <c r="BC29" s="2">
        <v>20</v>
      </c>
      <c r="BD29" s="2">
        <v>40</v>
      </c>
      <c r="BE29" s="2">
        <v>27</v>
      </c>
      <c r="BF29" s="2">
        <v>26</v>
      </c>
      <c r="BG29" s="2">
        <v>79</v>
      </c>
      <c r="BH29" s="2">
        <v>40</v>
      </c>
      <c r="BI29" s="2">
        <v>30</v>
      </c>
      <c r="BJ29" s="2">
        <v>19</v>
      </c>
      <c r="BK29" s="2">
        <v>42</v>
      </c>
      <c r="BL29" s="2">
        <v>77</v>
      </c>
      <c r="BM29" s="2">
        <v>100</v>
      </c>
      <c r="BN29" s="2">
        <v>88</v>
      </c>
      <c r="BO29" s="2">
        <f t="shared" si="0"/>
        <v>872</v>
      </c>
    </row>
    <row r="30" spans="1:67" ht="105.75" customHeight="1" x14ac:dyDescent="0.25">
      <c r="A30" s="1" t="s">
        <v>91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f t="shared" si="0"/>
        <v>0</v>
      </c>
    </row>
    <row r="31" spans="1:67" ht="105.75" customHeight="1" x14ac:dyDescent="0.25">
      <c r="A31" s="1" t="s">
        <v>92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1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f t="shared" si="0"/>
        <v>1</v>
      </c>
    </row>
    <row r="32" spans="1:67" ht="105.75" customHeight="1" x14ac:dyDescent="0.25">
      <c r="A32" s="1" t="s">
        <v>93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4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2</v>
      </c>
      <c r="AZ32" s="2">
        <v>2</v>
      </c>
      <c r="BA32" s="2">
        <v>10</v>
      </c>
      <c r="BB32" s="2">
        <v>1</v>
      </c>
      <c r="BC32" s="2">
        <v>1</v>
      </c>
      <c r="BD32" s="2">
        <v>1</v>
      </c>
      <c r="BE32" s="2">
        <v>0</v>
      </c>
      <c r="BF32" s="2">
        <v>16</v>
      </c>
      <c r="BG32" s="2">
        <v>1</v>
      </c>
      <c r="BH32" s="2">
        <v>1</v>
      </c>
      <c r="BI32" s="2">
        <v>0</v>
      </c>
      <c r="BJ32" s="2">
        <v>3</v>
      </c>
      <c r="BK32" s="2">
        <v>3</v>
      </c>
      <c r="BL32" s="2">
        <v>9</v>
      </c>
      <c r="BM32" s="2">
        <v>0</v>
      </c>
      <c r="BN32" s="2">
        <v>0</v>
      </c>
      <c r="BO32" s="2">
        <f t="shared" si="0"/>
        <v>54</v>
      </c>
    </row>
    <row r="33" spans="1:67" ht="105.75" customHeight="1" x14ac:dyDescent="0.25">
      <c r="A33" s="1" t="s">
        <v>94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1</v>
      </c>
      <c r="AX33" s="2">
        <v>0</v>
      </c>
      <c r="AY33" s="2">
        <v>0</v>
      </c>
      <c r="AZ33" s="2">
        <v>2</v>
      </c>
      <c r="BA33" s="2">
        <v>0</v>
      </c>
      <c r="BB33" s="2">
        <v>3</v>
      </c>
      <c r="BC33" s="2">
        <v>2</v>
      </c>
      <c r="BD33" s="2">
        <v>0</v>
      </c>
      <c r="BE33" s="2">
        <v>0</v>
      </c>
      <c r="BF33" s="2">
        <v>5</v>
      </c>
      <c r="BG33" s="2">
        <v>0</v>
      </c>
      <c r="BH33" s="2">
        <v>0</v>
      </c>
      <c r="BI33" s="2">
        <v>5</v>
      </c>
      <c r="BJ33" s="2">
        <v>0</v>
      </c>
      <c r="BK33" s="2">
        <v>0</v>
      </c>
      <c r="BL33" s="2">
        <v>0</v>
      </c>
      <c r="BM33" s="2">
        <v>0</v>
      </c>
      <c r="BN33" s="2">
        <v>4</v>
      </c>
      <c r="BO33" s="2">
        <f t="shared" si="0"/>
        <v>22</v>
      </c>
    </row>
    <row r="34" spans="1:67" ht="105.75" customHeight="1" x14ac:dyDescent="0.25">
      <c r="A34" s="1" t="s">
        <v>95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1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3</v>
      </c>
      <c r="AS34" s="2">
        <v>0</v>
      </c>
      <c r="AT34" s="2">
        <v>0</v>
      </c>
      <c r="AU34" s="2">
        <v>0</v>
      </c>
      <c r="AV34" s="2">
        <v>14</v>
      </c>
      <c r="AW34" s="2">
        <v>6</v>
      </c>
      <c r="AX34" s="2">
        <v>3</v>
      </c>
      <c r="AY34" s="2">
        <v>8</v>
      </c>
      <c r="AZ34" s="2">
        <v>4</v>
      </c>
      <c r="BA34" s="2">
        <v>7</v>
      </c>
      <c r="BB34" s="2">
        <v>3</v>
      </c>
      <c r="BC34" s="2">
        <v>12</v>
      </c>
      <c r="BD34" s="2">
        <v>17</v>
      </c>
      <c r="BE34" s="2">
        <v>24</v>
      </c>
      <c r="BF34" s="2">
        <v>20</v>
      </c>
      <c r="BG34" s="2">
        <v>16</v>
      </c>
      <c r="BH34" s="2">
        <v>22</v>
      </c>
      <c r="BI34" s="2">
        <v>17</v>
      </c>
      <c r="BJ34" s="2">
        <v>11</v>
      </c>
      <c r="BK34" s="2">
        <v>16</v>
      </c>
      <c r="BL34" s="2">
        <v>13</v>
      </c>
      <c r="BM34" s="2">
        <v>26</v>
      </c>
      <c r="BN34" s="2">
        <v>37</v>
      </c>
      <c r="BO34" s="2">
        <f t="shared" si="0"/>
        <v>280</v>
      </c>
    </row>
    <row r="35" spans="1:67" ht="105.75" customHeight="1" x14ac:dyDescent="0.25">
      <c r="A35" s="1" t="s">
        <v>96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15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6</v>
      </c>
      <c r="BC35" s="2">
        <v>0</v>
      </c>
      <c r="BD35" s="2">
        <v>1</v>
      </c>
      <c r="BE35" s="2">
        <v>1</v>
      </c>
      <c r="BF35" s="2">
        <v>0</v>
      </c>
      <c r="BG35" s="2">
        <v>0</v>
      </c>
      <c r="BH35" s="2">
        <v>0</v>
      </c>
      <c r="BI35" s="2">
        <v>20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f t="shared" si="0"/>
        <v>43</v>
      </c>
    </row>
    <row r="36" spans="1:67" ht="105.75" customHeight="1" x14ac:dyDescent="0.25">
      <c r="A36" s="1" t="s">
        <v>97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1</v>
      </c>
      <c r="AV36" s="2">
        <v>2</v>
      </c>
      <c r="AW36" s="2">
        <v>0</v>
      </c>
      <c r="AX36" s="2">
        <v>0</v>
      </c>
      <c r="AY36" s="2">
        <v>3</v>
      </c>
      <c r="AZ36" s="2">
        <v>0</v>
      </c>
      <c r="BA36" s="2">
        <v>5</v>
      </c>
      <c r="BB36" s="2">
        <v>14</v>
      </c>
      <c r="BC36" s="2">
        <v>0</v>
      </c>
      <c r="BD36" s="2">
        <v>4</v>
      </c>
      <c r="BE36" s="2">
        <v>30</v>
      </c>
      <c r="BF36" s="2">
        <v>7</v>
      </c>
      <c r="BG36" s="2">
        <v>42</v>
      </c>
      <c r="BH36" s="2">
        <v>2</v>
      </c>
      <c r="BI36" s="2">
        <v>4</v>
      </c>
      <c r="BJ36" s="2">
        <v>5</v>
      </c>
      <c r="BK36" s="2">
        <v>18</v>
      </c>
      <c r="BL36" s="2">
        <v>2</v>
      </c>
      <c r="BM36" s="2">
        <v>23</v>
      </c>
      <c r="BN36" s="2">
        <v>1</v>
      </c>
      <c r="BO36" s="2">
        <f t="shared" si="0"/>
        <v>163</v>
      </c>
    </row>
    <row r="37" spans="1:67" ht="105.75" customHeight="1" x14ac:dyDescent="0.25">
      <c r="A37" s="1" t="s">
        <v>98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f t="shared" si="0"/>
        <v>1</v>
      </c>
    </row>
    <row r="38" spans="1:67" ht="105.75" customHeight="1" x14ac:dyDescent="0.25">
      <c r="A38" s="1" t="s">
        <v>99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3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2</v>
      </c>
      <c r="BM38" s="2">
        <v>0</v>
      </c>
      <c r="BN38" s="2">
        <v>0</v>
      </c>
      <c r="BO38" s="2">
        <f t="shared" si="0"/>
        <v>5</v>
      </c>
    </row>
    <row r="39" spans="1:67" ht="105.75" customHeight="1" x14ac:dyDescent="0.25">
      <c r="A39" s="1" t="s">
        <v>100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3</v>
      </c>
      <c r="BK39" s="2">
        <v>0</v>
      </c>
      <c r="BL39" s="2">
        <v>0</v>
      </c>
      <c r="BM39" s="2">
        <v>0</v>
      </c>
      <c r="BN39" s="2">
        <v>3</v>
      </c>
      <c r="BO39" s="2">
        <f t="shared" ref="BO39:BO70" si="1">SUM(B39:BN39)</f>
        <v>6</v>
      </c>
    </row>
    <row r="40" spans="1:67" ht="105.75" customHeight="1" x14ac:dyDescent="0.25">
      <c r="A40" s="1" t="s">
        <v>101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f t="shared" si="1"/>
        <v>0</v>
      </c>
    </row>
    <row r="41" spans="1:67" ht="105.75" customHeight="1" x14ac:dyDescent="0.25">
      <c r="A41" s="1" t="s">
        <v>102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2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1</v>
      </c>
      <c r="AZ41" s="2">
        <v>0</v>
      </c>
      <c r="BA41" s="2">
        <v>3</v>
      </c>
      <c r="BB41" s="2">
        <v>0</v>
      </c>
      <c r="BC41" s="2">
        <v>0</v>
      </c>
      <c r="BD41" s="2">
        <v>19</v>
      </c>
      <c r="BE41" s="2">
        <v>5</v>
      </c>
      <c r="BF41" s="2">
        <v>6</v>
      </c>
      <c r="BG41" s="2">
        <v>0</v>
      </c>
      <c r="BH41" s="2">
        <v>1</v>
      </c>
      <c r="BI41" s="2">
        <v>0</v>
      </c>
      <c r="BJ41" s="2">
        <v>1</v>
      </c>
      <c r="BK41" s="2">
        <v>0</v>
      </c>
      <c r="BL41" s="2">
        <v>0</v>
      </c>
      <c r="BM41" s="2">
        <v>0</v>
      </c>
      <c r="BN41" s="2">
        <v>0</v>
      </c>
      <c r="BO41" s="2">
        <f t="shared" si="1"/>
        <v>38</v>
      </c>
    </row>
    <row r="42" spans="1:67" ht="105.75" customHeight="1" x14ac:dyDescent="0.25">
      <c r="A42" s="1" t="s">
        <v>103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f t="shared" si="1"/>
        <v>0</v>
      </c>
    </row>
    <row r="43" spans="1:67" ht="105.75" customHeight="1" x14ac:dyDescent="0.25">
      <c r="A43" s="1" t="s">
        <v>104</v>
      </c>
      <c r="B43" s="2">
        <v>8</v>
      </c>
      <c r="C43" s="2">
        <v>34</v>
      </c>
      <c r="D43" s="2">
        <v>25</v>
      </c>
      <c r="E43" s="2">
        <v>20</v>
      </c>
      <c r="F43" s="2">
        <v>18</v>
      </c>
      <c r="G43" s="2">
        <v>40</v>
      </c>
      <c r="H43" s="2">
        <v>77</v>
      </c>
      <c r="I43" s="2">
        <v>11</v>
      </c>
      <c r="J43" s="2">
        <v>19</v>
      </c>
      <c r="K43" s="2">
        <v>11</v>
      </c>
      <c r="L43" s="2">
        <v>63</v>
      </c>
      <c r="M43" s="2">
        <v>22</v>
      </c>
      <c r="N43" s="2">
        <v>16</v>
      </c>
      <c r="O43" s="2">
        <v>16</v>
      </c>
      <c r="P43" s="2">
        <v>25</v>
      </c>
      <c r="Q43" s="2">
        <v>11</v>
      </c>
      <c r="R43" s="2">
        <v>18</v>
      </c>
      <c r="S43" s="2">
        <v>76</v>
      </c>
      <c r="T43" s="2">
        <v>68</v>
      </c>
      <c r="U43" s="2">
        <v>18</v>
      </c>
      <c r="V43" s="2">
        <v>27</v>
      </c>
      <c r="W43" s="2">
        <v>53</v>
      </c>
      <c r="X43" s="2">
        <v>46</v>
      </c>
      <c r="Y43" s="2">
        <v>12</v>
      </c>
      <c r="Z43" s="2">
        <v>14</v>
      </c>
      <c r="AA43" s="2">
        <v>18</v>
      </c>
      <c r="AB43" s="2">
        <v>39</v>
      </c>
      <c r="AC43" s="2">
        <v>16</v>
      </c>
      <c r="AD43" s="2">
        <v>19</v>
      </c>
      <c r="AE43" s="2">
        <v>13</v>
      </c>
      <c r="AF43" s="2">
        <v>19</v>
      </c>
      <c r="AG43" s="2">
        <v>16</v>
      </c>
      <c r="AH43" s="2">
        <v>23</v>
      </c>
      <c r="AI43" s="2">
        <v>20</v>
      </c>
      <c r="AJ43" s="2">
        <v>9</v>
      </c>
      <c r="AK43" s="2">
        <v>18</v>
      </c>
      <c r="AL43" s="2">
        <v>23</v>
      </c>
      <c r="AM43" s="2">
        <v>26</v>
      </c>
      <c r="AN43" s="2">
        <v>21</v>
      </c>
      <c r="AO43" s="2">
        <v>8</v>
      </c>
      <c r="AP43" s="2">
        <v>7</v>
      </c>
      <c r="AQ43" s="2">
        <v>35</v>
      </c>
      <c r="AR43" s="2">
        <v>10</v>
      </c>
      <c r="AS43" s="2">
        <v>10</v>
      </c>
      <c r="AT43" s="2">
        <v>21</v>
      </c>
      <c r="AU43" s="2">
        <v>27</v>
      </c>
      <c r="AV43" s="2">
        <v>41</v>
      </c>
      <c r="AW43" s="2">
        <v>9</v>
      </c>
      <c r="AX43" s="2">
        <v>3</v>
      </c>
      <c r="AY43" s="2">
        <v>12</v>
      </c>
      <c r="AZ43" s="2">
        <v>18</v>
      </c>
      <c r="BA43" s="2">
        <v>14</v>
      </c>
      <c r="BB43" s="2">
        <v>23</v>
      </c>
      <c r="BC43" s="2">
        <v>6</v>
      </c>
      <c r="BD43" s="2">
        <v>22</v>
      </c>
      <c r="BE43" s="2">
        <v>14</v>
      </c>
      <c r="BF43" s="2">
        <v>14</v>
      </c>
      <c r="BG43" s="2">
        <v>24</v>
      </c>
      <c r="BH43" s="2">
        <v>13</v>
      </c>
      <c r="BI43" s="2">
        <v>28</v>
      </c>
      <c r="BJ43" s="2">
        <v>18</v>
      </c>
      <c r="BK43" s="2">
        <v>7</v>
      </c>
      <c r="BL43" s="2">
        <v>5</v>
      </c>
      <c r="BM43" s="2">
        <v>24</v>
      </c>
      <c r="BN43" s="2">
        <v>14</v>
      </c>
      <c r="BO43" s="2">
        <f t="shared" si="1"/>
        <v>1455</v>
      </c>
    </row>
    <row r="44" spans="1:67" ht="105.75" customHeight="1" x14ac:dyDescent="0.25">
      <c r="A44" s="1" t="s">
        <v>105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1</v>
      </c>
      <c r="AC44" s="2">
        <v>0</v>
      </c>
      <c r="AD44" s="2">
        <v>1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1</v>
      </c>
      <c r="AU44" s="2">
        <v>0</v>
      </c>
      <c r="AV44" s="2">
        <v>2</v>
      </c>
      <c r="AW44" s="2">
        <v>0</v>
      </c>
      <c r="AX44" s="2">
        <v>1</v>
      </c>
      <c r="AY44" s="2">
        <v>3</v>
      </c>
      <c r="AZ44" s="2">
        <v>5</v>
      </c>
      <c r="BA44" s="2">
        <v>1</v>
      </c>
      <c r="BB44" s="2">
        <v>0</v>
      </c>
      <c r="BC44" s="2">
        <v>0</v>
      </c>
      <c r="BD44" s="2">
        <v>4</v>
      </c>
      <c r="BE44" s="2">
        <v>6</v>
      </c>
      <c r="BF44" s="2">
        <v>25</v>
      </c>
      <c r="BG44" s="2">
        <v>26</v>
      </c>
      <c r="BH44" s="2">
        <v>4</v>
      </c>
      <c r="BI44" s="2">
        <v>5</v>
      </c>
      <c r="BJ44" s="2">
        <v>3</v>
      </c>
      <c r="BK44" s="2">
        <v>10</v>
      </c>
      <c r="BL44" s="2">
        <v>6</v>
      </c>
      <c r="BM44" s="2">
        <v>45</v>
      </c>
      <c r="BN44" s="2">
        <v>21</v>
      </c>
      <c r="BO44" s="2">
        <f t="shared" si="1"/>
        <v>174</v>
      </c>
    </row>
    <row r="45" spans="1:67" ht="105.75" customHeight="1" x14ac:dyDescent="0.25">
      <c r="A45" s="1" t="s">
        <v>106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3</v>
      </c>
      <c r="AY45" s="2">
        <v>0</v>
      </c>
      <c r="AZ45" s="2">
        <v>0</v>
      </c>
      <c r="BA45" s="2">
        <v>0</v>
      </c>
      <c r="BB45" s="2">
        <v>0</v>
      </c>
      <c r="BC45" s="2">
        <v>12</v>
      </c>
      <c r="BD45" s="2">
        <v>0</v>
      </c>
      <c r="BE45" s="2">
        <v>0</v>
      </c>
      <c r="BF45" s="2">
        <v>0</v>
      </c>
      <c r="BG45" s="2">
        <v>3</v>
      </c>
      <c r="BH45" s="2">
        <v>0</v>
      </c>
      <c r="BI45" s="2">
        <v>0</v>
      </c>
      <c r="BJ45" s="2">
        <v>0</v>
      </c>
      <c r="BK45" s="2">
        <v>4</v>
      </c>
      <c r="BL45" s="2">
        <v>1</v>
      </c>
      <c r="BM45" s="2">
        <v>0</v>
      </c>
      <c r="BN45" s="2">
        <v>0</v>
      </c>
      <c r="BO45" s="2">
        <f t="shared" si="1"/>
        <v>23</v>
      </c>
    </row>
    <row r="46" spans="1:67" ht="105.75" customHeight="1" x14ac:dyDescent="0.25">
      <c r="A46" s="1" t="s">
        <v>119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f t="shared" si="1"/>
        <v>0</v>
      </c>
    </row>
    <row r="47" spans="1:67" ht="105.75" customHeight="1" x14ac:dyDescent="0.25">
      <c r="A47" s="1" t="s">
        <v>107</v>
      </c>
      <c r="B47" s="2">
        <v>17</v>
      </c>
      <c r="C47" s="2">
        <v>16</v>
      </c>
      <c r="D47" s="2">
        <v>24</v>
      </c>
      <c r="E47" s="2">
        <v>41</v>
      </c>
      <c r="F47" s="2">
        <v>35</v>
      </c>
      <c r="G47" s="2">
        <v>42</v>
      </c>
      <c r="H47" s="2">
        <v>121</v>
      </c>
      <c r="I47" s="2">
        <v>51</v>
      </c>
      <c r="J47" s="2">
        <v>20</v>
      </c>
      <c r="K47" s="2">
        <v>40</v>
      </c>
      <c r="L47" s="2">
        <v>34</v>
      </c>
      <c r="M47" s="2">
        <v>38</v>
      </c>
      <c r="N47" s="2">
        <v>53</v>
      </c>
      <c r="O47" s="2">
        <v>33</v>
      </c>
      <c r="P47" s="2">
        <v>56</v>
      </c>
      <c r="Q47" s="2">
        <v>74</v>
      </c>
      <c r="R47" s="2">
        <v>135</v>
      </c>
      <c r="S47" s="2">
        <v>35</v>
      </c>
      <c r="T47" s="2">
        <v>81</v>
      </c>
      <c r="U47" s="2">
        <v>19</v>
      </c>
      <c r="V47" s="2">
        <v>23</v>
      </c>
      <c r="W47" s="2">
        <v>121</v>
      </c>
      <c r="X47" s="2">
        <v>21</v>
      </c>
      <c r="Y47" s="2">
        <v>17</v>
      </c>
      <c r="Z47" s="2">
        <v>54</v>
      </c>
      <c r="AA47" s="2">
        <v>34</v>
      </c>
      <c r="AB47" s="2">
        <v>32</v>
      </c>
      <c r="AC47" s="2">
        <v>34</v>
      </c>
      <c r="AD47" s="2">
        <v>27</v>
      </c>
      <c r="AE47" s="2">
        <v>23</v>
      </c>
      <c r="AF47" s="2">
        <v>16</v>
      </c>
      <c r="AG47" s="2">
        <v>27</v>
      </c>
      <c r="AH47" s="2">
        <v>27</v>
      </c>
      <c r="AI47" s="2">
        <v>36</v>
      </c>
      <c r="AJ47" s="2">
        <v>24</v>
      </c>
      <c r="AK47" s="2">
        <v>24</v>
      </c>
      <c r="AL47" s="2">
        <v>26</v>
      </c>
      <c r="AM47" s="2">
        <v>10</v>
      </c>
      <c r="AN47" s="2">
        <v>3</v>
      </c>
      <c r="AO47" s="2">
        <v>3</v>
      </c>
      <c r="AP47" s="2">
        <v>3</v>
      </c>
      <c r="AQ47" s="2">
        <v>42</v>
      </c>
      <c r="AR47" s="2">
        <v>33</v>
      </c>
      <c r="AS47" s="2">
        <v>31</v>
      </c>
      <c r="AT47" s="2">
        <v>35</v>
      </c>
      <c r="AU47" s="2">
        <v>30</v>
      </c>
      <c r="AV47" s="2">
        <v>19</v>
      </c>
      <c r="AW47" s="2">
        <v>13</v>
      </c>
      <c r="AX47" s="2">
        <v>16</v>
      </c>
      <c r="AY47" s="2">
        <v>29</v>
      </c>
      <c r="AZ47" s="2">
        <v>21</v>
      </c>
      <c r="BA47" s="2">
        <v>22</v>
      </c>
      <c r="BB47" s="2">
        <v>21</v>
      </c>
      <c r="BC47" s="2">
        <v>116</v>
      </c>
      <c r="BD47" s="2">
        <v>21</v>
      </c>
      <c r="BE47" s="2">
        <v>7</v>
      </c>
      <c r="BF47" s="2">
        <v>10</v>
      </c>
      <c r="BG47" s="2">
        <v>36</v>
      </c>
      <c r="BH47" s="2">
        <v>16</v>
      </c>
      <c r="BI47" s="2">
        <v>10</v>
      </c>
      <c r="BJ47" s="2">
        <v>16</v>
      </c>
      <c r="BK47" s="2">
        <v>13</v>
      </c>
      <c r="BL47" s="2">
        <v>27</v>
      </c>
      <c r="BM47" s="2">
        <v>4</v>
      </c>
      <c r="BN47" s="2">
        <v>19</v>
      </c>
      <c r="BO47" s="2">
        <f t="shared" si="1"/>
        <v>2157</v>
      </c>
    </row>
    <row r="48" spans="1:67" ht="105.75" customHeight="1" x14ac:dyDescent="0.25">
      <c r="A48" s="1" t="s">
        <v>108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1</v>
      </c>
      <c r="BA48" s="2">
        <v>0</v>
      </c>
      <c r="BB48" s="2">
        <v>0</v>
      </c>
      <c r="BC48" s="2">
        <v>3</v>
      </c>
      <c r="BD48" s="2">
        <v>11</v>
      </c>
      <c r="BE48" s="2">
        <v>3</v>
      </c>
      <c r="BF48" s="2">
        <v>0</v>
      </c>
      <c r="BG48" s="2">
        <v>1</v>
      </c>
      <c r="BH48" s="2">
        <v>1</v>
      </c>
      <c r="BI48" s="2">
        <v>1</v>
      </c>
      <c r="BJ48" s="2">
        <v>0</v>
      </c>
      <c r="BK48" s="2">
        <v>0</v>
      </c>
      <c r="BL48" s="2">
        <v>0</v>
      </c>
      <c r="BM48" s="2">
        <v>0</v>
      </c>
      <c r="BN48" s="2">
        <v>3</v>
      </c>
      <c r="BO48" s="2">
        <f t="shared" si="1"/>
        <v>24</v>
      </c>
    </row>
    <row r="49" spans="1:67" ht="105.75" customHeight="1" x14ac:dyDescent="0.25">
      <c r="A49" s="1" t="s">
        <v>116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1</v>
      </c>
      <c r="BH49" s="2">
        <v>0</v>
      </c>
      <c r="BI49" s="2">
        <v>0</v>
      </c>
      <c r="BJ49" s="2">
        <v>2</v>
      </c>
      <c r="BK49" s="2">
        <v>0</v>
      </c>
      <c r="BL49" s="2">
        <v>0</v>
      </c>
      <c r="BM49" s="2">
        <v>0</v>
      </c>
      <c r="BN49" s="2">
        <v>1</v>
      </c>
      <c r="BO49" s="2">
        <f t="shared" si="1"/>
        <v>4</v>
      </c>
    </row>
    <row r="50" spans="1:67" ht="105.75" customHeight="1" x14ac:dyDescent="0.25">
      <c r="A50" s="1" t="s">
        <v>117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2</v>
      </c>
      <c r="BE50" s="2">
        <v>1</v>
      </c>
      <c r="BF50" s="2">
        <v>0</v>
      </c>
      <c r="BG50" s="2">
        <v>0</v>
      </c>
      <c r="BH50" s="2">
        <v>0</v>
      </c>
      <c r="BI50" s="2">
        <v>1</v>
      </c>
      <c r="BJ50" s="2">
        <v>1</v>
      </c>
      <c r="BK50" s="2">
        <v>0</v>
      </c>
      <c r="BL50" s="2">
        <v>1</v>
      </c>
      <c r="BM50" s="2">
        <v>0</v>
      </c>
      <c r="BN50" s="2">
        <v>1</v>
      </c>
      <c r="BO50" s="2">
        <f t="shared" si="1"/>
        <v>7</v>
      </c>
    </row>
    <row r="51" spans="1:67" ht="105.75" customHeight="1" x14ac:dyDescent="0.25">
      <c r="A51" s="1" t="s">
        <v>109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1</v>
      </c>
      <c r="AV51" s="2">
        <v>0</v>
      </c>
      <c r="AW51" s="2">
        <v>0</v>
      </c>
      <c r="AX51" s="2">
        <v>0</v>
      </c>
      <c r="AY51" s="2">
        <v>2</v>
      </c>
      <c r="AZ51" s="2">
        <v>4</v>
      </c>
      <c r="BA51" s="2">
        <v>0</v>
      </c>
      <c r="BB51" s="2">
        <v>0</v>
      </c>
      <c r="BC51" s="2">
        <v>2</v>
      </c>
      <c r="BD51" s="2">
        <v>1</v>
      </c>
      <c r="BE51" s="2">
        <v>5</v>
      </c>
      <c r="BF51" s="2">
        <v>1</v>
      </c>
      <c r="BG51" s="2">
        <v>1</v>
      </c>
      <c r="BH51" s="2">
        <v>9</v>
      </c>
      <c r="BI51" s="2">
        <v>0</v>
      </c>
      <c r="BJ51" s="2">
        <v>1</v>
      </c>
      <c r="BK51" s="2">
        <v>5</v>
      </c>
      <c r="BL51" s="2">
        <v>1</v>
      </c>
      <c r="BM51" s="2">
        <v>1</v>
      </c>
      <c r="BN51" s="2">
        <v>3</v>
      </c>
      <c r="BO51" s="2">
        <f t="shared" si="1"/>
        <v>37</v>
      </c>
    </row>
    <row r="52" spans="1:67" ht="105.75" customHeight="1" x14ac:dyDescent="0.25">
      <c r="A52" s="1" t="s">
        <v>110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1</v>
      </c>
      <c r="AX52" s="2">
        <v>0</v>
      </c>
      <c r="AY52" s="2">
        <v>1</v>
      </c>
      <c r="AZ52" s="2">
        <v>0</v>
      </c>
      <c r="BA52" s="2">
        <v>0</v>
      </c>
      <c r="BB52" s="2">
        <v>1</v>
      </c>
      <c r="BC52" s="2">
        <v>0</v>
      </c>
      <c r="BD52" s="2">
        <v>5</v>
      </c>
      <c r="BE52" s="2">
        <v>3</v>
      </c>
      <c r="BF52" s="2">
        <v>3</v>
      </c>
      <c r="BG52" s="2">
        <v>4</v>
      </c>
      <c r="BH52" s="2">
        <v>4</v>
      </c>
      <c r="BI52" s="2">
        <v>3</v>
      </c>
      <c r="BJ52" s="2">
        <v>1</v>
      </c>
      <c r="BK52" s="2">
        <v>8</v>
      </c>
      <c r="BL52" s="2">
        <v>9</v>
      </c>
      <c r="BM52" s="2">
        <v>5</v>
      </c>
      <c r="BN52" s="2">
        <v>2</v>
      </c>
      <c r="BO52" s="2">
        <f t="shared" si="1"/>
        <v>50</v>
      </c>
    </row>
    <row r="53" spans="1:67" ht="105.75" customHeight="1" x14ac:dyDescent="0.25">
      <c r="A53" s="1" t="s">
        <v>118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18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2</v>
      </c>
      <c r="AZ53" s="2">
        <v>0</v>
      </c>
      <c r="BA53" s="2">
        <v>0</v>
      </c>
      <c r="BB53" s="2">
        <v>0</v>
      </c>
      <c r="BC53" s="2">
        <v>3</v>
      </c>
      <c r="BD53" s="2">
        <v>0</v>
      </c>
      <c r="BE53" s="2">
        <v>3</v>
      </c>
      <c r="BF53" s="2">
        <v>6</v>
      </c>
      <c r="BG53" s="2">
        <v>2</v>
      </c>
      <c r="BH53" s="2">
        <v>0</v>
      </c>
      <c r="BI53" s="2">
        <v>0</v>
      </c>
      <c r="BJ53" s="2">
        <v>2</v>
      </c>
      <c r="BK53" s="2">
        <v>0</v>
      </c>
      <c r="BL53" s="2">
        <v>5</v>
      </c>
      <c r="BM53" s="2">
        <v>0</v>
      </c>
      <c r="BN53" s="2">
        <v>2</v>
      </c>
      <c r="BO53" s="2">
        <f t="shared" si="1"/>
        <v>43</v>
      </c>
    </row>
    <row r="54" spans="1:67" ht="105.75" customHeight="1" x14ac:dyDescent="0.25">
      <c r="A54" s="1" t="s">
        <v>111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2</v>
      </c>
      <c r="BE54" s="2">
        <v>0</v>
      </c>
      <c r="BF54" s="2">
        <v>1</v>
      </c>
      <c r="BG54" s="2">
        <v>0</v>
      </c>
      <c r="BH54" s="2">
        <v>0</v>
      </c>
      <c r="BI54" s="2">
        <v>0</v>
      </c>
      <c r="BJ54" s="2">
        <v>1</v>
      </c>
      <c r="BK54" s="2">
        <v>0</v>
      </c>
      <c r="BL54" s="2">
        <v>0</v>
      </c>
      <c r="BM54" s="2">
        <v>0</v>
      </c>
      <c r="BN54" s="2">
        <v>0</v>
      </c>
      <c r="BO54" s="2">
        <f t="shared" si="1"/>
        <v>4</v>
      </c>
    </row>
    <row r="55" spans="1:67" ht="105.75" customHeight="1" x14ac:dyDescent="0.25">
      <c r="A55" s="1" t="s">
        <v>112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24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24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2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2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1</v>
      </c>
      <c r="AZ55" s="2">
        <v>1</v>
      </c>
      <c r="BA55" s="2">
        <v>7</v>
      </c>
      <c r="BB55" s="2">
        <v>1</v>
      </c>
      <c r="BC55" s="2">
        <v>2</v>
      </c>
      <c r="BD55" s="2">
        <v>0</v>
      </c>
      <c r="BE55" s="2">
        <v>12</v>
      </c>
      <c r="BF55" s="2">
        <v>2</v>
      </c>
      <c r="BG55" s="2">
        <v>2</v>
      </c>
      <c r="BH55" s="2">
        <v>11</v>
      </c>
      <c r="BI55" s="2">
        <v>6</v>
      </c>
      <c r="BJ55" s="2">
        <v>6</v>
      </c>
      <c r="BK55" s="2">
        <v>8</v>
      </c>
      <c r="BL55" s="2">
        <v>10</v>
      </c>
      <c r="BM55" s="2">
        <v>5</v>
      </c>
      <c r="BN55" s="2">
        <v>10</v>
      </c>
      <c r="BO55" s="2">
        <f t="shared" si="1"/>
        <v>136</v>
      </c>
    </row>
    <row r="56" spans="1:67" ht="105.75" customHeight="1" x14ac:dyDescent="0.25">
      <c r="A56" s="1" t="s">
        <v>113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1</v>
      </c>
      <c r="P56" s="2">
        <v>0</v>
      </c>
      <c r="Q56" s="2">
        <v>0</v>
      </c>
      <c r="R56" s="2">
        <v>0</v>
      </c>
      <c r="S56" s="2">
        <v>0</v>
      </c>
      <c r="T56" s="2">
        <v>3</v>
      </c>
      <c r="U56" s="2">
        <v>0</v>
      </c>
      <c r="V56" s="2">
        <v>0</v>
      </c>
      <c r="W56" s="2">
        <v>0</v>
      </c>
      <c r="X56" s="2">
        <v>1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1</v>
      </c>
      <c r="AE56" s="2">
        <v>0</v>
      </c>
      <c r="AF56" s="2">
        <v>0</v>
      </c>
      <c r="AG56" s="2">
        <v>2</v>
      </c>
      <c r="AH56" s="2">
        <v>0</v>
      </c>
      <c r="AI56" s="2">
        <v>1</v>
      </c>
      <c r="AJ56" s="2">
        <v>0</v>
      </c>
      <c r="AK56" s="2">
        <v>0</v>
      </c>
      <c r="AL56" s="2">
        <v>0</v>
      </c>
      <c r="AM56" s="2">
        <v>1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2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8</v>
      </c>
      <c r="BA56" s="2">
        <v>0</v>
      </c>
      <c r="BB56" s="2">
        <v>18</v>
      </c>
      <c r="BC56" s="2">
        <v>0</v>
      </c>
      <c r="BD56" s="2">
        <v>0</v>
      </c>
      <c r="BE56" s="2">
        <v>2</v>
      </c>
      <c r="BF56" s="2">
        <v>0</v>
      </c>
      <c r="BG56" s="2">
        <v>0</v>
      </c>
      <c r="BH56" s="2">
        <v>0</v>
      </c>
      <c r="BI56" s="2">
        <v>0</v>
      </c>
      <c r="BJ56" s="2">
        <v>4</v>
      </c>
      <c r="BK56" s="2">
        <v>0</v>
      </c>
      <c r="BL56" s="2">
        <v>0</v>
      </c>
      <c r="BM56" s="2">
        <v>0</v>
      </c>
      <c r="BN56" s="2">
        <v>0</v>
      </c>
      <c r="BO56" s="2">
        <f t="shared" si="1"/>
        <v>44</v>
      </c>
    </row>
    <row r="57" spans="1:67" ht="37.5" customHeight="1" x14ac:dyDescent="0.25">
      <c r="A57" s="9" t="s">
        <v>3</v>
      </c>
      <c r="B57" s="2">
        <f>SUBTOTAL(109,Tabla3[ene-12])</f>
        <v>144</v>
      </c>
      <c r="C57" s="2">
        <f>SUBTOTAL(109,Tabla3[feb-12])</f>
        <v>516</v>
      </c>
      <c r="D57" s="2">
        <f>SUBTOTAL(109,Tabla3[mar-12])</f>
        <v>301</v>
      </c>
      <c r="E57" s="2">
        <f>SUBTOTAL(109,Tabla3[abr-12])</f>
        <v>261</v>
      </c>
      <c r="F57" s="2">
        <f>SUBTOTAL(109,Tabla3[may-12])</f>
        <v>365</v>
      </c>
      <c r="G57" s="2">
        <f>SUBTOTAL(109,Tabla3[jun-12])</f>
        <v>252</v>
      </c>
      <c r="H57" s="2">
        <f>SUBTOTAL(109,Tabla3[jul-12])</f>
        <v>762</v>
      </c>
      <c r="I57" s="2">
        <f>SUBTOTAL(109,Tabla3[ago-12])</f>
        <v>201</v>
      </c>
      <c r="J57" s="2">
        <f>SUBTOTAL(109,Tabla3[sep-12])</f>
        <v>271</v>
      </c>
      <c r="K57" s="2">
        <f>SUBTOTAL(109,Tabla3[oct-12])</f>
        <v>193</v>
      </c>
      <c r="L57" s="2">
        <f>SUBTOTAL(109,Tabla3[nov-12])</f>
        <v>246</v>
      </c>
      <c r="M57" s="2">
        <f>SUBTOTAL(109,Tabla3[dic-12])</f>
        <v>148</v>
      </c>
      <c r="N57" s="2">
        <f>SUBTOTAL(109,Tabla3[ene-13])</f>
        <v>225</v>
      </c>
      <c r="O57" s="2">
        <f>SUBTOTAL(109,Tabla3[feb-13])</f>
        <v>223</v>
      </c>
      <c r="P57" s="2">
        <f>SUBTOTAL(109,Tabla3[mar-13])</f>
        <v>732</v>
      </c>
      <c r="Q57" s="2">
        <f>SUBTOTAL(109,Tabla3[abr-13])</f>
        <v>228</v>
      </c>
      <c r="R57" s="2">
        <f>SUBTOTAL(109,Tabla3[may-13])</f>
        <v>412</v>
      </c>
      <c r="S57" s="2">
        <f>SUBTOTAL(109,Tabla3[jun-13])</f>
        <v>215</v>
      </c>
      <c r="T57" s="2">
        <f>SUBTOTAL(109,Tabla3[jul-13])</f>
        <v>451</v>
      </c>
      <c r="U57" s="2">
        <f>SUBTOTAL(109,Tabla3[ago-13])</f>
        <v>169</v>
      </c>
      <c r="V57" s="2">
        <f>SUBTOTAL(109,Tabla3[sep-13])</f>
        <v>235</v>
      </c>
      <c r="W57" s="2">
        <f>SUBTOTAL(109,Tabla3[oct-13])</f>
        <v>403</v>
      </c>
      <c r="X57" s="2">
        <f>SUBTOTAL(109,Tabla3[nov-13])</f>
        <v>314</v>
      </c>
      <c r="Y57" s="2">
        <f>SUBTOTAL(109,Tabla3[dic-13])</f>
        <v>285</v>
      </c>
      <c r="Z57" s="2">
        <f>SUBTOTAL(109,Tabla3[ene-14])</f>
        <v>208</v>
      </c>
      <c r="AA57" s="2">
        <f>SUBTOTAL(109,Tabla3[feb-14])</f>
        <v>212</v>
      </c>
      <c r="AB57" s="2">
        <f>SUBTOTAL(109,Tabla3[mar-14])</f>
        <v>258</v>
      </c>
      <c r="AC57" s="2">
        <f>SUBTOTAL(109,Tabla3[abr-14])</f>
        <v>218</v>
      </c>
      <c r="AD57" s="2">
        <f>SUBTOTAL(109,Tabla3[may-14])</f>
        <v>215</v>
      </c>
      <c r="AE57" s="2">
        <f>SUBTOTAL(109,Tabla3[jun-14])</f>
        <v>164</v>
      </c>
      <c r="AF57" s="2">
        <f>SUBTOTAL(109,Tabla3[jul-14])</f>
        <v>174</v>
      </c>
      <c r="AG57" s="2">
        <f>SUBTOTAL(109,Tabla3[ago-14])</f>
        <v>249</v>
      </c>
      <c r="AH57" s="2">
        <f>SUBTOTAL(109,Tabla3[sep-14])</f>
        <v>186</v>
      </c>
      <c r="AI57" s="2">
        <f>SUBTOTAL(109,Tabla3[oct-14])</f>
        <v>231</v>
      </c>
      <c r="AJ57" s="2">
        <f>SUBTOTAL(109,Tabla3[nov-14])</f>
        <v>140</v>
      </c>
      <c r="AK57" s="2">
        <f>SUBTOTAL(109,Tabla3[dic-14])</f>
        <v>248</v>
      </c>
      <c r="AL57" s="2">
        <f>SUBTOTAL(109,Tabla3[ene-15])</f>
        <v>271</v>
      </c>
      <c r="AM57" s="2">
        <f>SUBTOTAL(109,Tabla3[feb-15])</f>
        <v>103</v>
      </c>
      <c r="AN57" s="2">
        <f>SUBTOTAL(109,Tabla3[mar-15])</f>
        <v>56</v>
      </c>
      <c r="AO57" s="2">
        <f>SUBTOTAL(109,Tabla3[abr-15])</f>
        <v>57</v>
      </c>
      <c r="AP57" s="2">
        <f>SUBTOTAL(109,Tabla3[may-15])</f>
        <v>86</v>
      </c>
      <c r="AQ57" s="2">
        <f>SUBTOTAL(109,Tabla3[jun-15])</f>
        <v>441</v>
      </c>
      <c r="AR57" s="2">
        <f>SUBTOTAL(109,Tabla3[jul-15])</f>
        <v>310</v>
      </c>
      <c r="AS57" s="2">
        <f>SUBTOTAL(109,Tabla3[ago-15])</f>
        <v>176</v>
      </c>
      <c r="AT57" s="2">
        <f>SUBTOTAL(109,Tabla3[sep-15])</f>
        <v>275</v>
      </c>
      <c r="AU57" s="2">
        <f>SUBTOTAL(109,Tabla3[oct-15])</f>
        <v>289</v>
      </c>
      <c r="AV57" s="2">
        <f>SUBTOTAL(109,Tabla3[nov-15])</f>
        <v>353</v>
      </c>
      <c r="AW57" s="2">
        <f>SUBTOTAL(109,Tabla3[dic-15])</f>
        <v>206</v>
      </c>
      <c r="AX57" s="2">
        <f>SUBTOTAL(109,Tabla3[ene-16])</f>
        <v>275</v>
      </c>
      <c r="AY57" s="2">
        <f>SUBTOTAL(109,Tabla3[feb-16])</f>
        <v>245</v>
      </c>
      <c r="AZ57" s="2">
        <f>SUBTOTAL(109,Tabla3[mar-16])</f>
        <v>614</v>
      </c>
      <c r="BA57" s="2">
        <f>SUBTOTAL(109,Tabla3[abr-16])</f>
        <v>449</v>
      </c>
      <c r="BB57" s="2">
        <f>SUBTOTAL(109,Tabla3[may-16])</f>
        <v>381</v>
      </c>
      <c r="BC57" s="2">
        <f>SUBTOTAL(109,Tabla3[jun-16])</f>
        <v>358</v>
      </c>
      <c r="BD57" s="2">
        <f>SUBTOTAL(109,Tabla3[jul-16])</f>
        <v>348</v>
      </c>
      <c r="BE57" s="2">
        <f>SUBTOTAL(109,Tabla3[ago-16])</f>
        <v>336</v>
      </c>
      <c r="BF57" s="2">
        <f>SUBTOTAL(109,Tabla3[sep-16])</f>
        <v>345</v>
      </c>
      <c r="BG57" s="2">
        <f>SUBTOTAL(109,Tabla3[oct-16])</f>
        <v>519</v>
      </c>
      <c r="BH57" s="2">
        <f>SUBTOTAL(109,Tabla3[nov-16])</f>
        <v>258</v>
      </c>
      <c r="BI57" s="2">
        <f>SUBTOTAL(109,Tabla3[dic-16])</f>
        <v>272</v>
      </c>
      <c r="BJ57" s="2">
        <f>SUBTOTAL(109,Tabla3[ene-17])</f>
        <v>209</v>
      </c>
      <c r="BK57" s="2">
        <f>SUBTOTAL(109,Tabla3[feb-17])</f>
        <v>264</v>
      </c>
      <c r="BL57" s="2">
        <f>SUBTOTAL(109,Tabla3[mar-17])</f>
        <v>312</v>
      </c>
      <c r="BM57" s="2">
        <f>SUBTOTAL(109,Tabla3[abr-17])</f>
        <v>367</v>
      </c>
      <c r="BN57" s="2">
        <f>SUBTOTAL(109,Tabla3[may-17])</f>
        <v>463</v>
      </c>
      <c r="BO57" s="2">
        <f>SUBTOTAL(109,Tabla3[Total])</f>
        <v>18693</v>
      </c>
    </row>
  </sheetData>
  <pageMargins left="0.70866141732283472" right="0.70866141732283472" top="1.3385826771653544" bottom="0.74803149606299213" header="0.31496062992125984" footer="0.31496062992125984"/>
  <pageSetup scale="60" orientation="landscape" r:id="rId1"/>
  <headerFooter>
    <oddHeader>&amp;C&amp;G
"2017. Año del Centenario de las Constituciones Mexicana y Mexiquense".</oddHeader>
    <oddFooter>&amp;LAv. Independencia Ote. 616. Colonia Santa Clara, Toluca, México
Tel. (722) 226 0494 ext. 15442&amp;RDIRECCIÓN GENERAL DE FINANZAS Y PLANEACIÓN
DIRECCIÓN DE INFORMACIÓN Y ESTADÍSTICA
Pág &amp;P de &amp;N</oddFoot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6"/>
  <sheetViews>
    <sheetView zoomScaleNormal="100" workbookViewId="0">
      <pane xSplit="1" ySplit="6" topLeftCell="B7" activePane="bottomRight" state="frozen"/>
      <selection activeCell="A10" sqref="A10"/>
      <selection pane="topRight" activeCell="A10" sqref="A10"/>
      <selection pane="bottomLeft" activeCell="A10" sqref="A10"/>
      <selection pane="bottomRight" activeCell="B7" sqref="B7"/>
    </sheetView>
  </sheetViews>
  <sheetFormatPr baseColWidth="10" defaultColWidth="0" defaultRowHeight="15" x14ac:dyDescent="0.25"/>
  <cols>
    <col min="1" max="1" width="71.42578125" customWidth="1"/>
    <col min="2" max="67" width="11.42578125" customWidth="1"/>
    <col min="68" max="16384" width="11.42578125" hidden="1"/>
  </cols>
  <sheetData>
    <row r="1" spans="1:67" ht="56.25" customHeight="1" x14ac:dyDescent="0.25">
      <c r="A1" s="13" t="s">
        <v>120</v>
      </c>
    </row>
    <row r="2" spans="1:67" ht="3" customHeight="1" x14ac:dyDescent="0.3">
      <c r="A2" s="7"/>
    </row>
    <row r="3" spans="1:67" ht="15.75" x14ac:dyDescent="0.25">
      <c r="A3" s="6" t="s">
        <v>1</v>
      </c>
    </row>
    <row r="4" spans="1:67" ht="15.75" x14ac:dyDescent="0.25">
      <c r="A4" s="6" t="s">
        <v>2</v>
      </c>
    </row>
    <row r="6" spans="1:67" ht="37.5" customHeight="1" x14ac:dyDescent="0.25">
      <c r="A6" s="3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  <c r="AA6" s="4" t="s">
        <v>30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 t="s">
        <v>36</v>
      </c>
      <c r="AH6" s="4" t="s">
        <v>37</v>
      </c>
      <c r="AI6" s="4" t="s">
        <v>38</v>
      </c>
      <c r="AJ6" s="4" t="s">
        <v>39</v>
      </c>
      <c r="AK6" s="4" t="s">
        <v>40</v>
      </c>
      <c r="AL6" s="4" t="s">
        <v>41</v>
      </c>
      <c r="AM6" s="4" t="s">
        <v>42</v>
      </c>
      <c r="AN6" s="4" t="s">
        <v>43</v>
      </c>
      <c r="AO6" s="4" t="s">
        <v>44</v>
      </c>
      <c r="AP6" s="4" t="s">
        <v>45</v>
      </c>
      <c r="AQ6" s="4" t="s">
        <v>46</v>
      </c>
      <c r="AR6" s="4" t="s">
        <v>47</v>
      </c>
      <c r="AS6" s="4" t="s">
        <v>48</v>
      </c>
      <c r="AT6" s="4" t="s">
        <v>49</v>
      </c>
      <c r="AU6" s="4" t="s">
        <v>50</v>
      </c>
      <c r="AV6" s="4" t="s">
        <v>51</v>
      </c>
      <c r="AW6" s="4" t="s">
        <v>52</v>
      </c>
      <c r="AX6" s="4" t="s">
        <v>53</v>
      </c>
      <c r="AY6" s="4" t="s">
        <v>54</v>
      </c>
      <c r="AZ6" s="4" t="s">
        <v>55</v>
      </c>
      <c r="BA6" s="4" t="s">
        <v>56</v>
      </c>
      <c r="BB6" s="4" t="s">
        <v>57</v>
      </c>
      <c r="BC6" s="4" t="s">
        <v>58</v>
      </c>
      <c r="BD6" s="4" t="s">
        <v>59</v>
      </c>
      <c r="BE6" s="4" t="s">
        <v>60</v>
      </c>
      <c r="BF6" s="4" t="s">
        <v>61</v>
      </c>
      <c r="BG6" s="4" t="s">
        <v>62</v>
      </c>
      <c r="BH6" s="4" t="s">
        <v>63</v>
      </c>
      <c r="BI6" s="4" t="s">
        <v>64</v>
      </c>
      <c r="BJ6" s="4" t="s">
        <v>65</v>
      </c>
      <c r="BK6" s="4" t="s">
        <v>66</v>
      </c>
      <c r="BL6" s="4" t="s">
        <v>67</v>
      </c>
      <c r="BM6" s="4" t="s">
        <v>68</v>
      </c>
      <c r="BN6" s="4" t="s">
        <v>69</v>
      </c>
      <c r="BO6" s="8" t="s">
        <v>3</v>
      </c>
    </row>
    <row r="7" spans="1:67" ht="105.75" customHeight="1" x14ac:dyDescent="0.25">
      <c r="A7" s="1" t="s">
        <v>70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1</v>
      </c>
      <c r="AM7" s="2">
        <v>0</v>
      </c>
      <c r="AN7" s="2">
        <v>0</v>
      </c>
      <c r="AO7" s="2">
        <v>0</v>
      </c>
      <c r="AP7" s="2">
        <v>0</v>
      </c>
      <c r="AQ7" s="2">
        <v>8</v>
      </c>
      <c r="AR7" s="2">
        <v>9</v>
      </c>
      <c r="AS7" s="2">
        <v>13</v>
      </c>
      <c r="AT7" s="2">
        <v>8</v>
      </c>
      <c r="AU7" s="2">
        <v>14</v>
      </c>
      <c r="AV7" s="2">
        <v>12</v>
      </c>
      <c r="AW7" s="2">
        <v>7</v>
      </c>
      <c r="AX7" s="2">
        <v>3</v>
      </c>
      <c r="AY7" s="2">
        <v>15</v>
      </c>
      <c r="AZ7" s="2">
        <v>5</v>
      </c>
      <c r="BA7" s="2">
        <v>15</v>
      </c>
      <c r="BB7" s="2">
        <v>14</v>
      </c>
      <c r="BC7" s="2">
        <v>4</v>
      </c>
      <c r="BD7" s="2">
        <v>5</v>
      </c>
      <c r="BE7" s="2">
        <v>5</v>
      </c>
      <c r="BF7" s="2">
        <v>5</v>
      </c>
      <c r="BG7" s="2">
        <v>4</v>
      </c>
      <c r="BH7" s="2">
        <v>5</v>
      </c>
      <c r="BI7" s="2">
        <v>3</v>
      </c>
      <c r="BJ7" s="2">
        <v>2</v>
      </c>
      <c r="BK7" s="2">
        <v>3</v>
      </c>
      <c r="BL7" s="2">
        <v>3</v>
      </c>
      <c r="BM7" s="2">
        <v>2</v>
      </c>
      <c r="BN7" s="2">
        <v>5</v>
      </c>
      <c r="BO7" s="2">
        <f t="shared" ref="BO7:BO38" si="0">SUM(B7:BN7)</f>
        <v>170</v>
      </c>
    </row>
    <row r="8" spans="1:67" ht="105.75" customHeight="1" x14ac:dyDescent="0.25">
      <c r="A8" s="1" t="s">
        <v>71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1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f t="shared" si="0"/>
        <v>1</v>
      </c>
    </row>
    <row r="9" spans="1:67" ht="105.75" customHeight="1" x14ac:dyDescent="0.25">
      <c r="A9" s="1" t="s">
        <v>72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2</v>
      </c>
      <c r="BC9" s="2">
        <v>3</v>
      </c>
      <c r="BD9" s="2">
        <v>0</v>
      </c>
      <c r="BE9" s="2">
        <v>0</v>
      </c>
      <c r="BF9" s="2">
        <v>1</v>
      </c>
      <c r="BG9" s="2">
        <v>0</v>
      </c>
      <c r="BH9" s="2">
        <v>0</v>
      </c>
      <c r="BI9" s="2">
        <v>2</v>
      </c>
      <c r="BJ9" s="2">
        <v>1</v>
      </c>
      <c r="BK9" s="2">
        <v>0</v>
      </c>
      <c r="BL9" s="2">
        <v>0</v>
      </c>
      <c r="BM9" s="2">
        <v>0</v>
      </c>
      <c r="BN9" s="2">
        <v>0</v>
      </c>
      <c r="BO9" s="2">
        <f t="shared" si="0"/>
        <v>9</v>
      </c>
    </row>
    <row r="10" spans="1:67" ht="105.75" customHeight="1" x14ac:dyDescent="0.25">
      <c r="A10" s="1" t="s">
        <v>73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2</v>
      </c>
      <c r="BF10" s="2">
        <v>11</v>
      </c>
      <c r="BG10" s="2">
        <v>1</v>
      </c>
      <c r="BH10" s="2">
        <v>4</v>
      </c>
      <c r="BI10" s="2">
        <v>1</v>
      </c>
      <c r="BJ10" s="2">
        <v>0</v>
      </c>
      <c r="BK10" s="2">
        <v>5</v>
      </c>
      <c r="BL10" s="2">
        <v>7</v>
      </c>
      <c r="BM10" s="2">
        <v>4</v>
      </c>
      <c r="BN10" s="2">
        <v>2</v>
      </c>
      <c r="BO10" s="2">
        <f t="shared" si="0"/>
        <v>37</v>
      </c>
    </row>
    <row r="11" spans="1:67" ht="105.75" customHeight="1" x14ac:dyDescent="0.25">
      <c r="A11" s="1" t="s">
        <v>74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2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2</v>
      </c>
      <c r="BF11" s="2">
        <v>0</v>
      </c>
      <c r="BG11" s="2">
        <v>3</v>
      </c>
      <c r="BH11" s="2">
        <v>2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1</v>
      </c>
      <c r="BO11" s="2">
        <f t="shared" si="0"/>
        <v>10</v>
      </c>
    </row>
    <row r="12" spans="1:67" ht="105.75" customHeight="1" x14ac:dyDescent="0.25">
      <c r="A12" s="1" t="s">
        <v>75</v>
      </c>
      <c r="B12" s="2">
        <v>2</v>
      </c>
      <c r="C12" s="2">
        <v>142</v>
      </c>
      <c r="D12" s="2">
        <v>8</v>
      </c>
      <c r="E12" s="2">
        <v>7</v>
      </c>
      <c r="F12" s="2">
        <v>287</v>
      </c>
      <c r="G12" s="2">
        <v>10</v>
      </c>
      <c r="H12" s="2">
        <v>8</v>
      </c>
      <c r="I12" s="2">
        <v>1</v>
      </c>
      <c r="J12" s="2">
        <v>7</v>
      </c>
      <c r="K12" s="2">
        <v>23</v>
      </c>
      <c r="L12" s="2">
        <v>5</v>
      </c>
      <c r="M12" s="2">
        <v>9</v>
      </c>
      <c r="N12" s="2">
        <v>13</v>
      </c>
      <c r="O12" s="2">
        <v>12</v>
      </c>
      <c r="P12" s="2">
        <v>26</v>
      </c>
      <c r="Q12" s="2">
        <v>14</v>
      </c>
      <c r="R12" s="2">
        <v>82</v>
      </c>
      <c r="S12" s="2">
        <v>18</v>
      </c>
      <c r="T12" s="2">
        <v>33</v>
      </c>
      <c r="U12" s="2">
        <v>42</v>
      </c>
      <c r="V12" s="2">
        <v>31</v>
      </c>
      <c r="W12" s="2">
        <v>68</v>
      </c>
      <c r="X12" s="2">
        <v>55</v>
      </c>
      <c r="Y12" s="2">
        <v>25</v>
      </c>
      <c r="Z12" s="2">
        <v>58</v>
      </c>
      <c r="AA12" s="2">
        <v>18</v>
      </c>
      <c r="AB12" s="2">
        <v>26</v>
      </c>
      <c r="AC12" s="2">
        <v>51</v>
      </c>
      <c r="AD12" s="2">
        <v>49</v>
      </c>
      <c r="AE12" s="2">
        <v>88</v>
      </c>
      <c r="AF12" s="2">
        <v>37</v>
      </c>
      <c r="AG12" s="2">
        <v>26</v>
      </c>
      <c r="AH12" s="2">
        <v>62</v>
      </c>
      <c r="AI12" s="2">
        <v>58</v>
      </c>
      <c r="AJ12" s="2">
        <v>52</v>
      </c>
      <c r="AK12" s="2">
        <v>19</v>
      </c>
      <c r="AL12" s="2">
        <v>32</v>
      </c>
      <c r="AM12" s="2">
        <v>30</v>
      </c>
      <c r="AN12" s="2">
        <v>2</v>
      </c>
      <c r="AO12" s="2">
        <v>4</v>
      </c>
      <c r="AP12" s="2">
        <v>0</v>
      </c>
      <c r="AQ12" s="2">
        <v>126</v>
      </c>
      <c r="AR12" s="2">
        <v>45</v>
      </c>
      <c r="AS12" s="2">
        <v>26</v>
      </c>
      <c r="AT12" s="2">
        <v>9</v>
      </c>
      <c r="AU12" s="2">
        <v>32</v>
      </c>
      <c r="AV12" s="2">
        <v>15</v>
      </c>
      <c r="AW12" s="2">
        <v>13</v>
      </c>
      <c r="AX12" s="2">
        <v>50</v>
      </c>
      <c r="AY12" s="2">
        <v>15</v>
      </c>
      <c r="AZ12" s="2">
        <v>48</v>
      </c>
      <c r="BA12" s="2">
        <v>35</v>
      </c>
      <c r="BB12" s="2">
        <v>31</v>
      </c>
      <c r="BC12" s="2">
        <v>13</v>
      </c>
      <c r="BD12" s="2">
        <v>5</v>
      </c>
      <c r="BE12" s="2">
        <v>9</v>
      </c>
      <c r="BF12" s="2">
        <v>1</v>
      </c>
      <c r="BG12" s="2">
        <v>0</v>
      </c>
      <c r="BH12" s="2">
        <v>0</v>
      </c>
      <c r="BI12" s="2">
        <v>2</v>
      </c>
      <c r="BJ12" s="2">
        <v>3</v>
      </c>
      <c r="BK12" s="2">
        <v>21</v>
      </c>
      <c r="BL12" s="2">
        <v>2</v>
      </c>
      <c r="BM12" s="2">
        <v>0</v>
      </c>
      <c r="BN12" s="2">
        <v>6</v>
      </c>
      <c r="BO12" s="2">
        <f t="shared" si="0"/>
        <v>2047</v>
      </c>
    </row>
    <row r="13" spans="1:67" ht="105.75" customHeight="1" x14ac:dyDescent="0.25">
      <c r="A13" s="1" t="s">
        <v>76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2</v>
      </c>
      <c r="AR13" s="2">
        <v>0</v>
      </c>
      <c r="AS13" s="2">
        <v>0</v>
      </c>
      <c r="AT13" s="2">
        <v>0</v>
      </c>
      <c r="AU13" s="2">
        <v>0</v>
      </c>
      <c r="AV13" s="2">
        <v>4</v>
      </c>
      <c r="AW13" s="2">
        <v>0</v>
      </c>
      <c r="AX13" s="2">
        <v>3</v>
      </c>
      <c r="AY13" s="2">
        <v>0</v>
      </c>
      <c r="AZ13" s="2">
        <v>1</v>
      </c>
      <c r="BA13" s="2">
        <v>1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6</v>
      </c>
      <c r="BI13" s="2">
        <v>2</v>
      </c>
      <c r="BJ13" s="2">
        <v>0</v>
      </c>
      <c r="BK13" s="2">
        <v>5</v>
      </c>
      <c r="BL13" s="2">
        <v>5</v>
      </c>
      <c r="BM13" s="2">
        <v>0</v>
      </c>
      <c r="BN13" s="2">
        <v>0</v>
      </c>
      <c r="BO13" s="2">
        <f t="shared" si="0"/>
        <v>29</v>
      </c>
    </row>
    <row r="14" spans="1:67" ht="105.75" customHeight="1" x14ac:dyDescent="0.25">
      <c r="A14" s="1" t="s">
        <v>77</v>
      </c>
      <c r="B14" s="2">
        <v>69</v>
      </c>
      <c r="C14" s="2">
        <v>387</v>
      </c>
      <c r="D14" s="2">
        <v>76</v>
      </c>
      <c r="E14" s="2">
        <v>106</v>
      </c>
      <c r="F14" s="2">
        <v>174</v>
      </c>
      <c r="G14" s="2">
        <v>75</v>
      </c>
      <c r="H14" s="2">
        <v>80</v>
      </c>
      <c r="I14" s="2">
        <v>70</v>
      </c>
      <c r="J14" s="2">
        <v>413</v>
      </c>
      <c r="K14" s="2">
        <v>85</v>
      </c>
      <c r="L14" s="2">
        <v>63</v>
      </c>
      <c r="M14" s="2">
        <v>76</v>
      </c>
      <c r="N14" s="2">
        <v>70</v>
      </c>
      <c r="O14" s="2">
        <v>118</v>
      </c>
      <c r="P14" s="2">
        <v>153</v>
      </c>
      <c r="Q14" s="2">
        <v>165</v>
      </c>
      <c r="R14" s="2">
        <v>84</v>
      </c>
      <c r="S14" s="2">
        <v>73</v>
      </c>
      <c r="T14" s="2">
        <v>227</v>
      </c>
      <c r="U14" s="2">
        <v>82</v>
      </c>
      <c r="V14" s="2">
        <v>102</v>
      </c>
      <c r="W14" s="2">
        <v>97</v>
      </c>
      <c r="X14" s="2">
        <v>110</v>
      </c>
      <c r="Y14" s="2">
        <v>75</v>
      </c>
      <c r="Z14" s="2">
        <v>25</v>
      </c>
      <c r="AA14" s="2">
        <v>51</v>
      </c>
      <c r="AB14" s="2">
        <v>98</v>
      </c>
      <c r="AC14" s="2">
        <v>99</v>
      </c>
      <c r="AD14" s="2">
        <v>180</v>
      </c>
      <c r="AE14" s="2">
        <v>100</v>
      </c>
      <c r="AF14" s="2">
        <v>186</v>
      </c>
      <c r="AG14" s="2">
        <v>71</v>
      </c>
      <c r="AH14" s="2">
        <v>64</v>
      </c>
      <c r="AI14" s="2">
        <v>180</v>
      </c>
      <c r="AJ14" s="2">
        <v>111</v>
      </c>
      <c r="AK14" s="2">
        <v>58</v>
      </c>
      <c r="AL14" s="2">
        <v>116</v>
      </c>
      <c r="AM14" s="2">
        <v>37</v>
      </c>
      <c r="AN14" s="2">
        <v>52</v>
      </c>
      <c r="AO14" s="2">
        <v>16</v>
      </c>
      <c r="AP14" s="2">
        <v>17</v>
      </c>
      <c r="AQ14" s="2">
        <v>223</v>
      </c>
      <c r="AR14" s="2">
        <v>192</v>
      </c>
      <c r="AS14" s="2">
        <v>181</v>
      </c>
      <c r="AT14" s="2">
        <v>98</v>
      </c>
      <c r="AU14" s="2">
        <v>91</v>
      </c>
      <c r="AV14" s="2">
        <v>85</v>
      </c>
      <c r="AW14" s="2">
        <v>61</v>
      </c>
      <c r="AX14" s="2">
        <v>118</v>
      </c>
      <c r="AY14" s="2">
        <v>78</v>
      </c>
      <c r="AZ14" s="2">
        <v>44</v>
      </c>
      <c r="BA14" s="2">
        <v>142</v>
      </c>
      <c r="BB14" s="2">
        <v>70</v>
      </c>
      <c r="BC14" s="2">
        <v>60</v>
      </c>
      <c r="BD14" s="2">
        <v>46</v>
      </c>
      <c r="BE14" s="2">
        <v>9</v>
      </c>
      <c r="BF14" s="2">
        <v>16</v>
      </c>
      <c r="BG14" s="2">
        <v>82</v>
      </c>
      <c r="BH14" s="2">
        <v>21</v>
      </c>
      <c r="BI14" s="2">
        <v>19</v>
      </c>
      <c r="BJ14" s="2">
        <v>9</v>
      </c>
      <c r="BK14" s="2">
        <v>3</v>
      </c>
      <c r="BL14" s="2">
        <v>20</v>
      </c>
      <c r="BM14" s="2">
        <v>16</v>
      </c>
      <c r="BN14" s="2">
        <v>7</v>
      </c>
      <c r="BO14" s="2">
        <f t="shared" si="0"/>
        <v>6182</v>
      </c>
    </row>
    <row r="15" spans="1:67" ht="105.75" customHeight="1" x14ac:dyDescent="0.25">
      <c r="A15" s="1" t="s">
        <v>78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2</v>
      </c>
      <c r="Y15" s="2">
        <v>0</v>
      </c>
      <c r="Z15" s="2">
        <v>1</v>
      </c>
      <c r="AA15" s="2">
        <v>1</v>
      </c>
      <c r="AB15" s="2">
        <v>0</v>
      </c>
      <c r="AC15" s="2">
        <v>0</v>
      </c>
      <c r="AD15" s="2">
        <v>0</v>
      </c>
      <c r="AE15" s="2">
        <v>0</v>
      </c>
      <c r="AF15" s="2">
        <v>3</v>
      </c>
      <c r="AG15" s="2">
        <v>0</v>
      </c>
      <c r="AH15" s="2">
        <v>1</v>
      </c>
      <c r="AI15" s="2">
        <v>0</v>
      </c>
      <c r="AJ15" s="2">
        <v>2</v>
      </c>
      <c r="AK15" s="2">
        <v>0</v>
      </c>
      <c r="AL15" s="2">
        <v>0</v>
      </c>
      <c r="AM15" s="2">
        <v>1</v>
      </c>
      <c r="AN15" s="2">
        <v>2</v>
      </c>
      <c r="AO15" s="2">
        <v>0</v>
      </c>
      <c r="AP15" s="2">
        <v>0</v>
      </c>
      <c r="AQ15" s="2">
        <v>3</v>
      </c>
      <c r="AR15" s="2">
        <v>0</v>
      </c>
      <c r="AS15" s="2">
        <v>0</v>
      </c>
      <c r="AT15" s="2">
        <v>0</v>
      </c>
      <c r="AU15" s="2">
        <v>9</v>
      </c>
      <c r="AV15" s="2">
        <v>24</v>
      </c>
      <c r="AW15" s="2">
        <v>3</v>
      </c>
      <c r="AX15" s="2">
        <v>7</v>
      </c>
      <c r="AY15" s="2">
        <v>7</v>
      </c>
      <c r="AZ15" s="2">
        <v>5</v>
      </c>
      <c r="BA15" s="2">
        <v>8</v>
      </c>
      <c r="BB15" s="2">
        <v>9</v>
      </c>
      <c r="BC15" s="2">
        <v>14</v>
      </c>
      <c r="BD15" s="2">
        <v>14</v>
      </c>
      <c r="BE15" s="2">
        <v>15</v>
      </c>
      <c r="BF15" s="2">
        <v>4</v>
      </c>
      <c r="BG15" s="2">
        <v>5</v>
      </c>
      <c r="BH15" s="2">
        <v>1</v>
      </c>
      <c r="BI15" s="2">
        <v>12</v>
      </c>
      <c r="BJ15" s="2">
        <v>7</v>
      </c>
      <c r="BK15" s="2">
        <v>7</v>
      </c>
      <c r="BL15" s="2">
        <v>1</v>
      </c>
      <c r="BM15" s="2">
        <v>3</v>
      </c>
      <c r="BN15" s="2">
        <v>14</v>
      </c>
      <c r="BO15" s="2">
        <f t="shared" si="0"/>
        <v>185</v>
      </c>
    </row>
    <row r="16" spans="1:67" ht="105.75" customHeight="1" x14ac:dyDescent="0.25">
      <c r="A16" s="1" t="s">
        <v>79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4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2</v>
      </c>
      <c r="BB16" s="2">
        <v>0</v>
      </c>
      <c r="BC16" s="2">
        <v>0</v>
      </c>
      <c r="BD16" s="2">
        <v>27</v>
      </c>
      <c r="BE16" s="2">
        <v>7</v>
      </c>
      <c r="BF16" s="2">
        <v>2</v>
      </c>
      <c r="BG16" s="2">
        <v>0</v>
      </c>
      <c r="BH16" s="2">
        <v>1</v>
      </c>
      <c r="BI16" s="2">
        <v>6</v>
      </c>
      <c r="BJ16" s="2">
        <v>0</v>
      </c>
      <c r="BK16" s="2">
        <v>2</v>
      </c>
      <c r="BL16" s="2">
        <v>8</v>
      </c>
      <c r="BM16" s="2">
        <v>0</v>
      </c>
      <c r="BN16" s="2">
        <v>2</v>
      </c>
      <c r="BO16" s="2">
        <f t="shared" si="0"/>
        <v>61</v>
      </c>
    </row>
    <row r="17" spans="1:67" ht="105.75" customHeight="1" x14ac:dyDescent="0.25">
      <c r="A17" s="1" t="s">
        <v>80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</v>
      </c>
      <c r="BJ17" s="2">
        <v>1</v>
      </c>
      <c r="BK17" s="2">
        <v>0</v>
      </c>
      <c r="BL17" s="2">
        <v>0</v>
      </c>
      <c r="BM17" s="2">
        <v>0</v>
      </c>
      <c r="BN17" s="2">
        <v>0</v>
      </c>
      <c r="BO17" s="2">
        <f t="shared" si="0"/>
        <v>2</v>
      </c>
    </row>
    <row r="18" spans="1:67" ht="105.75" customHeight="1" x14ac:dyDescent="0.25">
      <c r="A18" s="1" t="s">
        <v>81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1</v>
      </c>
      <c r="AY18" s="2">
        <v>0</v>
      </c>
      <c r="AZ18" s="2">
        <v>0</v>
      </c>
      <c r="BA18" s="2">
        <v>1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f t="shared" si="0"/>
        <v>2</v>
      </c>
    </row>
    <row r="19" spans="1:67" ht="105.75" customHeight="1" x14ac:dyDescent="0.25">
      <c r="A19" s="1" t="s">
        <v>82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2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10</v>
      </c>
      <c r="BI19" s="2">
        <v>0</v>
      </c>
      <c r="BJ19" s="2">
        <v>1</v>
      </c>
      <c r="BK19" s="2">
        <v>0</v>
      </c>
      <c r="BL19" s="2">
        <v>2</v>
      </c>
      <c r="BM19" s="2">
        <v>0</v>
      </c>
      <c r="BN19" s="2">
        <v>2</v>
      </c>
      <c r="BO19" s="2">
        <f t="shared" si="0"/>
        <v>17</v>
      </c>
    </row>
    <row r="20" spans="1:67" ht="105.75" customHeight="1" x14ac:dyDescent="0.25">
      <c r="A20" s="1" t="s">
        <v>114</v>
      </c>
      <c r="B20" s="2">
        <v>0</v>
      </c>
      <c r="C20" s="2">
        <v>2</v>
      </c>
      <c r="D20" s="2">
        <v>1</v>
      </c>
      <c r="E20" s="2">
        <v>0</v>
      </c>
      <c r="F20" s="2">
        <v>1</v>
      </c>
      <c r="G20" s="2">
        <v>3</v>
      </c>
      <c r="H20" s="2">
        <v>2</v>
      </c>
      <c r="I20" s="2">
        <v>0</v>
      </c>
      <c r="J20" s="2">
        <v>1</v>
      </c>
      <c r="K20" s="2">
        <v>2</v>
      </c>
      <c r="L20" s="2">
        <v>1</v>
      </c>
      <c r="M20" s="2">
        <v>1</v>
      </c>
      <c r="N20" s="2">
        <v>0</v>
      </c>
      <c r="O20" s="2">
        <v>1</v>
      </c>
      <c r="P20" s="2">
        <v>7</v>
      </c>
      <c r="Q20" s="2">
        <v>0</v>
      </c>
      <c r="R20" s="2">
        <v>5</v>
      </c>
      <c r="S20" s="2">
        <v>0</v>
      </c>
      <c r="T20" s="2">
        <v>4</v>
      </c>
      <c r="U20" s="2">
        <v>5</v>
      </c>
      <c r="V20" s="2">
        <v>5</v>
      </c>
      <c r="W20" s="2">
        <v>7</v>
      </c>
      <c r="X20" s="2">
        <v>4</v>
      </c>
      <c r="Y20" s="2">
        <v>15</v>
      </c>
      <c r="Z20" s="2">
        <v>0</v>
      </c>
      <c r="AA20" s="2">
        <v>1</v>
      </c>
      <c r="AB20" s="2">
        <v>8</v>
      </c>
      <c r="AC20" s="2">
        <v>1</v>
      </c>
      <c r="AD20" s="2">
        <v>5</v>
      </c>
      <c r="AE20" s="2">
        <v>4</v>
      </c>
      <c r="AF20" s="2">
        <v>1</v>
      </c>
      <c r="AG20" s="2">
        <v>16</v>
      </c>
      <c r="AH20" s="2">
        <v>5</v>
      </c>
      <c r="AI20" s="2">
        <v>5</v>
      </c>
      <c r="AJ20" s="2">
        <v>19</v>
      </c>
      <c r="AK20" s="2">
        <v>2</v>
      </c>
      <c r="AL20" s="2">
        <v>4</v>
      </c>
      <c r="AM20" s="2">
        <v>1</v>
      </c>
      <c r="AN20" s="2">
        <v>10</v>
      </c>
      <c r="AO20" s="2">
        <v>2</v>
      </c>
      <c r="AP20" s="2">
        <v>0</v>
      </c>
      <c r="AQ20" s="2">
        <v>1</v>
      </c>
      <c r="AR20" s="2">
        <v>0</v>
      </c>
      <c r="AS20" s="2">
        <v>3</v>
      </c>
      <c r="AT20" s="2">
        <v>1</v>
      </c>
      <c r="AU20" s="2">
        <v>3</v>
      </c>
      <c r="AV20" s="2">
        <v>4</v>
      </c>
      <c r="AW20" s="2">
        <v>4</v>
      </c>
      <c r="AX20" s="2">
        <v>3</v>
      </c>
      <c r="AY20" s="2">
        <v>6</v>
      </c>
      <c r="AZ20" s="2">
        <v>1</v>
      </c>
      <c r="BA20" s="2">
        <v>3</v>
      </c>
      <c r="BB20" s="2">
        <v>9</v>
      </c>
      <c r="BC20" s="2">
        <v>3</v>
      </c>
      <c r="BD20" s="2">
        <v>7</v>
      </c>
      <c r="BE20" s="2">
        <v>4</v>
      </c>
      <c r="BF20" s="2">
        <v>6</v>
      </c>
      <c r="BG20" s="2">
        <v>6</v>
      </c>
      <c r="BH20" s="2">
        <v>3</v>
      </c>
      <c r="BI20" s="2">
        <v>7</v>
      </c>
      <c r="BJ20" s="2">
        <v>4</v>
      </c>
      <c r="BK20" s="2">
        <v>14</v>
      </c>
      <c r="BL20" s="2">
        <v>4</v>
      </c>
      <c r="BM20" s="2">
        <v>5</v>
      </c>
      <c r="BN20" s="2">
        <v>8</v>
      </c>
      <c r="BO20" s="2">
        <f t="shared" si="0"/>
        <v>260</v>
      </c>
    </row>
    <row r="21" spans="1:67" ht="105.75" customHeight="1" x14ac:dyDescent="0.25">
      <c r="A21" s="1" t="s">
        <v>83</v>
      </c>
      <c r="B21" s="2">
        <v>35</v>
      </c>
      <c r="C21" s="2">
        <v>85</v>
      </c>
      <c r="D21" s="2">
        <v>321</v>
      </c>
      <c r="E21" s="2">
        <v>135</v>
      </c>
      <c r="F21" s="2">
        <v>65</v>
      </c>
      <c r="G21" s="2">
        <v>93</v>
      </c>
      <c r="H21" s="2">
        <v>111</v>
      </c>
      <c r="I21" s="2">
        <v>95</v>
      </c>
      <c r="J21" s="2">
        <v>227</v>
      </c>
      <c r="K21" s="2">
        <v>59</v>
      </c>
      <c r="L21" s="2">
        <v>154</v>
      </c>
      <c r="M21" s="2">
        <v>73</v>
      </c>
      <c r="N21" s="2">
        <v>96</v>
      </c>
      <c r="O21" s="2">
        <v>53</v>
      </c>
      <c r="P21" s="2">
        <v>164</v>
      </c>
      <c r="Q21" s="2">
        <v>70</v>
      </c>
      <c r="R21" s="2">
        <v>103</v>
      </c>
      <c r="S21" s="2">
        <v>82</v>
      </c>
      <c r="T21" s="2">
        <v>119</v>
      </c>
      <c r="U21" s="2">
        <v>81</v>
      </c>
      <c r="V21" s="2">
        <v>83</v>
      </c>
      <c r="W21" s="2">
        <v>178</v>
      </c>
      <c r="X21" s="2">
        <v>167</v>
      </c>
      <c r="Y21" s="2">
        <v>154</v>
      </c>
      <c r="Z21" s="2">
        <v>52</v>
      </c>
      <c r="AA21" s="2">
        <v>68</v>
      </c>
      <c r="AB21" s="2">
        <v>84</v>
      </c>
      <c r="AC21" s="2">
        <v>79</v>
      </c>
      <c r="AD21" s="2">
        <v>57</v>
      </c>
      <c r="AE21" s="2">
        <v>59</v>
      </c>
      <c r="AF21" s="2">
        <v>121</v>
      </c>
      <c r="AG21" s="2">
        <v>54</v>
      </c>
      <c r="AH21" s="2">
        <v>78</v>
      </c>
      <c r="AI21" s="2">
        <v>74</v>
      </c>
      <c r="AJ21" s="2">
        <v>114</v>
      </c>
      <c r="AK21" s="2">
        <v>93</v>
      </c>
      <c r="AL21" s="2">
        <v>106</v>
      </c>
      <c r="AM21" s="2">
        <v>48</v>
      </c>
      <c r="AN21" s="2">
        <v>44</v>
      </c>
      <c r="AO21" s="2">
        <v>4</v>
      </c>
      <c r="AP21" s="2">
        <v>7</v>
      </c>
      <c r="AQ21" s="2">
        <v>143</v>
      </c>
      <c r="AR21" s="2">
        <v>33</v>
      </c>
      <c r="AS21" s="2">
        <v>206</v>
      </c>
      <c r="AT21" s="2">
        <v>73</v>
      </c>
      <c r="AU21" s="2">
        <v>76</v>
      </c>
      <c r="AV21" s="2">
        <v>63</v>
      </c>
      <c r="AW21" s="2">
        <v>35</v>
      </c>
      <c r="AX21" s="2">
        <v>75</v>
      </c>
      <c r="AY21" s="2">
        <v>41</v>
      </c>
      <c r="AZ21" s="2">
        <v>56</v>
      </c>
      <c r="BA21" s="2">
        <v>153</v>
      </c>
      <c r="BB21" s="2">
        <v>68</v>
      </c>
      <c r="BC21" s="2">
        <v>36</v>
      </c>
      <c r="BD21" s="2">
        <v>9</v>
      </c>
      <c r="BE21" s="2">
        <v>40</v>
      </c>
      <c r="BF21" s="2">
        <v>40</v>
      </c>
      <c r="BG21" s="2">
        <v>22</v>
      </c>
      <c r="BH21" s="2">
        <v>53</v>
      </c>
      <c r="BI21" s="2">
        <v>26</v>
      </c>
      <c r="BJ21" s="2">
        <v>10</v>
      </c>
      <c r="BK21" s="2">
        <v>59</v>
      </c>
      <c r="BL21" s="2">
        <v>51</v>
      </c>
      <c r="BM21" s="2">
        <v>14</v>
      </c>
      <c r="BN21" s="2">
        <v>41</v>
      </c>
      <c r="BO21" s="2">
        <f t="shared" si="0"/>
        <v>5368</v>
      </c>
    </row>
    <row r="22" spans="1:67" ht="105.75" customHeight="1" x14ac:dyDescent="0.25">
      <c r="A22" s="1" t="s">
        <v>84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1</v>
      </c>
      <c r="BD22" s="2">
        <v>0</v>
      </c>
      <c r="BE22" s="2">
        <v>0</v>
      </c>
      <c r="BF22" s="2">
        <v>3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1</v>
      </c>
      <c r="BO22" s="2">
        <f t="shared" si="0"/>
        <v>5</v>
      </c>
    </row>
    <row r="23" spans="1:67" ht="105.75" customHeight="1" x14ac:dyDescent="0.25">
      <c r="A23" s="1" t="s">
        <v>85</v>
      </c>
      <c r="B23" s="2">
        <v>515</v>
      </c>
      <c r="C23" s="2">
        <v>362</v>
      </c>
      <c r="D23" s="2">
        <v>352</v>
      </c>
      <c r="E23" s="2">
        <v>350</v>
      </c>
      <c r="F23" s="2">
        <v>484</v>
      </c>
      <c r="G23" s="2">
        <v>646</v>
      </c>
      <c r="H23" s="2">
        <v>574</v>
      </c>
      <c r="I23" s="2">
        <v>462</v>
      </c>
      <c r="J23" s="2">
        <v>619</v>
      </c>
      <c r="K23" s="2">
        <v>441</v>
      </c>
      <c r="L23" s="2">
        <v>514</v>
      </c>
      <c r="M23" s="2">
        <v>380</v>
      </c>
      <c r="N23" s="2">
        <v>480</v>
      </c>
      <c r="O23" s="2">
        <v>773</v>
      </c>
      <c r="P23" s="2">
        <v>964</v>
      </c>
      <c r="Q23" s="2">
        <v>682</v>
      </c>
      <c r="R23" s="2">
        <v>709</v>
      </c>
      <c r="S23" s="2">
        <v>683</v>
      </c>
      <c r="T23" s="2">
        <v>713</v>
      </c>
      <c r="U23" s="2">
        <v>735</v>
      </c>
      <c r="V23" s="2">
        <v>691</v>
      </c>
      <c r="W23" s="2">
        <v>720</v>
      </c>
      <c r="X23" s="2">
        <v>720</v>
      </c>
      <c r="Y23" s="2">
        <v>796</v>
      </c>
      <c r="Z23" s="2">
        <v>591</v>
      </c>
      <c r="AA23" s="2">
        <v>532</v>
      </c>
      <c r="AB23" s="2">
        <v>537</v>
      </c>
      <c r="AC23" s="2">
        <v>320</v>
      </c>
      <c r="AD23" s="2">
        <v>401</v>
      </c>
      <c r="AE23" s="2">
        <v>500</v>
      </c>
      <c r="AF23" s="2">
        <v>405</v>
      </c>
      <c r="AG23" s="2">
        <v>455</v>
      </c>
      <c r="AH23" s="2">
        <v>345</v>
      </c>
      <c r="AI23" s="2">
        <v>398</v>
      </c>
      <c r="AJ23" s="2">
        <v>506</v>
      </c>
      <c r="AK23" s="2">
        <v>345</v>
      </c>
      <c r="AL23" s="2">
        <v>448</v>
      </c>
      <c r="AM23" s="2">
        <v>122</v>
      </c>
      <c r="AN23" s="2">
        <v>38</v>
      </c>
      <c r="AO23" s="2">
        <v>20</v>
      </c>
      <c r="AP23" s="2">
        <v>25</v>
      </c>
      <c r="AQ23" s="2">
        <v>1039</v>
      </c>
      <c r="AR23" s="2">
        <v>573</v>
      </c>
      <c r="AS23" s="2">
        <v>568</v>
      </c>
      <c r="AT23" s="2">
        <v>625</v>
      </c>
      <c r="AU23" s="2">
        <v>699</v>
      </c>
      <c r="AV23" s="2">
        <v>338</v>
      </c>
      <c r="AW23" s="2">
        <v>309</v>
      </c>
      <c r="AX23" s="2">
        <v>295</v>
      </c>
      <c r="AY23" s="2">
        <v>185</v>
      </c>
      <c r="AZ23" s="2">
        <v>277</v>
      </c>
      <c r="BA23" s="2">
        <v>366</v>
      </c>
      <c r="BB23" s="2">
        <v>204</v>
      </c>
      <c r="BC23" s="2">
        <v>147</v>
      </c>
      <c r="BD23" s="2">
        <v>45</v>
      </c>
      <c r="BE23" s="2">
        <v>12</v>
      </c>
      <c r="BF23" s="2">
        <v>34</v>
      </c>
      <c r="BG23" s="2">
        <v>18</v>
      </c>
      <c r="BH23" s="2">
        <v>11</v>
      </c>
      <c r="BI23" s="2">
        <v>11</v>
      </c>
      <c r="BJ23" s="2">
        <v>18</v>
      </c>
      <c r="BK23" s="2">
        <v>11</v>
      </c>
      <c r="BL23" s="2">
        <v>22</v>
      </c>
      <c r="BM23" s="2">
        <v>7</v>
      </c>
      <c r="BN23" s="2">
        <v>11</v>
      </c>
      <c r="BO23" s="2">
        <f t="shared" si="0"/>
        <v>26178</v>
      </c>
    </row>
    <row r="24" spans="1:67" ht="105.75" customHeight="1" x14ac:dyDescent="0.25">
      <c r="A24" s="1" t="s">
        <v>86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</v>
      </c>
      <c r="BJ24" s="2">
        <v>1</v>
      </c>
      <c r="BK24" s="2">
        <v>0</v>
      </c>
      <c r="BL24" s="2">
        <v>0</v>
      </c>
      <c r="BM24" s="2">
        <v>0</v>
      </c>
      <c r="BN24" s="2">
        <v>0</v>
      </c>
      <c r="BO24" s="2">
        <f t="shared" si="0"/>
        <v>2</v>
      </c>
    </row>
    <row r="25" spans="1:67" ht="105.75" customHeight="1" x14ac:dyDescent="0.25">
      <c r="A25" s="1" t="s">
        <v>87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19</v>
      </c>
      <c r="BK25" s="2">
        <v>0</v>
      </c>
      <c r="BL25" s="2">
        <v>0</v>
      </c>
      <c r="BM25" s="2">
        <v>0</v>
      </c>
      <c r="BN25" s="2">
        <v>0</v>
      </c>
      <c r="BO25" s="2">
        <f t="shared" si="0"/>
        <v>19</v>
      </c>
    </row>
    <row r="26" spans="1:67" ht="105.75" customHeight="1" x14ac:dyDescent="0.25">
      <c r="A26" s="1" t="s">
        <v>88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4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12</v>
      </c>
      <c r="AR26" s="2">
        <v>0</v>
      </c>
      <c r="AS26" s="2">
        <v>0</v>
      </c>
      <c r="AT26" s="2">
        <v>12</v>
      </c>
      <c r="AU26" s="2">
        <v>0</v>
      </c>
      <c r="AV26" s="2">
        <v>0</v>
      </c>
      <c r="AW26" s="2">
        <v>0</v>
      </c>
      <c r="AX26" s="2">
        <v>23</v>
      </c>
      <c r="AY26" s="2">
        <v>12</v>
      </c>
      <c r="AZ26" s="2">
        <v>14</v>
      </c>
      <c r="BA26" s="2">
        <v>24</v>
      </c>
      <c r="BB26" s="2">
        <v>34</v>
      </c>
      <c r="BC26" s="2">
        <v>7</v>
      </c>
      <c r="BD26" s="2">
        <v>15</v>
      </c>
      <c r="BE26" s="2">
        <v>12</v>
      </c>
      <c r="BF26" s="2">
        <v>22</v>
      </c>
      <c r="BG26" s="2">
        <v>21</v>
      </c>
      <c r="BH26" s="2">
        <v>15</v>
      </c>
      <c r="BI26" s="2">
        <v>18</v>
      </c>
      <c r="BJ26" s="2">
        <v>51</v>
      </c>
      <c r="BK26" s="2">
        <v>46</v>
      </c>
      <c r="BL26" s="2">
        <v>17</v>
      </c>
      <c r="BM26" s="2">
        <v>31</v>
      </c>
      <c r="BN26" s="2">
        <v>31</v>
      </c>
      <c r="BO26" s="2">
        <f t="shared" si="0"/>
        <v>421</v>
      </c>
    </row>
    <row r="27" spans="1:67" ht="105.75" customHeight="1" x14ac:dyDescent="0.25">
      <c r="A27" s="1" t="s">
        <v>115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7</v>
      </c>
      <c r="BF27" s="2">
        <v>4</v>
      </c>
      <c r="BG27" s="2">
        <v>0</v>
      </c>
      <c r="BH27" s="2">
        <v>1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f t="shared" si="0"/>
        <v>12</v>
      </c>
    </row>
    <row r="28" spans="1:67" ht="105.75" customHeight="1" x14ac:dyDescent="0.25">
      <c r="A28" s="1" t="s">
        <v>89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1</v>
      </c>
      <c r="BN28" s="2">
        <v>0</v>
      </c>
      <c r="BO28" s="2">
        <f t="shared" si="0"/>
        <v>1</v>
      </c>
    </row>
    <row r="29" spans="1:67" ht="105.75" customHeight="1" x14ac:dyDescent="0.25">
      <c r="A29" s="1" t="s">
        <v>90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3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</v>
      </c>
      <c r="Y29" s="2">
        <v>0</v>
      </c>
      <c r="Z29" s="2">
        <v>0</v>
      </c>
      <c r="AA29" s="2">
        <v>0</v>
      </c>
      <c r="AB29" s="2">
        <v>2</v>
      </c>
      <c r="AC29" s="2">
        <v>0</v>
      </c>
      <c r="AD29" s="2">
        <v>0</v>
      </c>
      <c r="AE29" s="2">
        <v>0</v>
      </c>
      <c r="AF29" s="2">
        <v>0</v>
      </c>
      <c r="AG29" s="2">
        <v>3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62</v>
      </c>
      <c r="AR29" s="2">
        <v>1</v>
      </c>
      <c r="AS29" s="2">
        <v>8</v>
      </c>
      <c r="AT29" s="2">
        <v>4</v>
      </c>
      <c r="AU29" s="2">
        <v>7</v>
      </c>
      <c r="AV29" s="2">
        <v>4</v>
      </c>
      <c r="AW29" s="2">
        <v>7</v>
      </c>
      <c r="AX29" s="2">
        <v>41</v>
      </c>
      <c r="AY29" s="2">
        <v>61</v>
      </c>
      <c r="AZ29" s="2">
        <v>54</v>
      </c>
      <c r="BA29" s="2">
        <v>60</v>
      </c>
      <c r="BB29" s="2">
        <v>75</v>
      </c>
      <c r="BC29" s="2">
        <v>96</v>
      </c>
      <c r="BD29" s="2">
        <v>33</v>
      </c>
      <c r="BE29" s="2">
        <v>52</v>
      </c>
      <c r="BF29" s="2">
        <v>42</v>
      </c>
      <c r="BG29" s="2">
        <v>50</v>
      </c>
      <c r="BH29" s="2">
        <v>30</v>
      </c>
      <c r="BI29" s="2">
        <v>28</v>
      </c>
      <c r="BJ29" s="2">
        <v>168</v>
      </c>
      <c r="BK29" s="2">
        <v>48</v>
      </c>
      <c r="BL29" s="2">
        <v>50</v>
      </c>
      <c r="BM29" s="2">
        <v>38</v>
      </c>
      <c r="BN29" s="2">
        <v>78</v>
      </c>
      <c r="BO29" s="2">
        <f t="shared" si="0"/>
        <v>1120</v>
      </c>
    </row>
    <row r="30" spans="1:67" ht="105.75" customHeight="1" x14ac:dyDescent="0.25">
      <c r="A30" s="1" t="s">
        <v>91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f t="shared" si="0"/>
        <v>0</v>
      </c>
    </row>
    <row r="31" spans="1:67" ht="105.75" customHeight="1" x14ac:dyDescent="0.25">
      <c r="A31" s="1" t="s">
        <v>92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1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f t="shared" si="0"/>
        <v>1</v>
      </c>
    </row>
    <row r="32" spans="1:67" ht="105.75" customHeight="1" x14ac:dyDescent="0.25">
      <c r="A32" s="1" t="s">
        <v>93</v>
      </c>
      <c r="B32" s="2">
        <v>0</v>
      </c>
      <c r="C32" s="2">
        <v>0</v>
      </c>
      <c r="D32" s="2">
        <v>0</v>
      </c>
      <c r="E32" s="2">
        <v>5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12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10</v>
      </c>
      <c r="AZ32" s="2">
        <v>8</v>
      </c>
      <c r="BA32" s="2">
        <v>3</v>
      </c>
      <c r="BB32" s="2">
        <v>4</v>
      </c>
      <c r="BC32" s="2">
        <v>1</v>
      </c>
      <c r="BD32" s="2">
        <v>1</v>
      </c>
      <c r="BE32" s="2">
        <v>0</v>
      </c>
      <c r="BF32" s="2">
        <v>15</v>
      </c>
      <c r="BG32" s="2">
        <v>0</v>
      </c>
      <c r="BH32" s="2">
        <v>0</v>
      </c>
      <c r="BI32" s="2">
        <v>0</v>
      </c>
      <c r="BJ32" s="2">
        <v>2</v>
      </c>
      <c r="BK32" s="2">
        <v>0</v>
      </c>
      <c r="BL32" s="2">
        <v>1</v>
      </c>
      <c r="BM32" s="2">
        <v>3</v>
      </c>
      <c r="BN32" s="2">
        <v>4</v>
      </c>
      <c r="BO32" s="2">
        <f t="shared" si="0"/>
        <v>69</v>
      </c>
    </row>
    <row r="33" spans="1:67" ht="105.75" customHeight="1" x14ac:dyDescent="0.25">
      <c r="A33" s="1" t="s">
        <v>94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1</v>
      </c>
      <c r="AU33" s="2">
        <v>0</v>
      </c>
      <c r="AV33" s="2">
        <v>2</v>
      </c>
      <c r="AW33" s="2">
        <v>2</v>
      </c>
      <c r="AX33" s="2">
        <v>3</v>
      </c>
      <c r="AY33" s="2">
        <v>0</v>
      </c>
      <c r="AZ33" s="2">
        <v>4</v>
      </c>
      <c r="BA33" s="2">
        <v>5</v>
      </c>
      <c r="BB33" s="2">
        <v>3</v>
      </c>
      <c r="BC33" s="2">
        <v>6</v>
      </c>
      <c r="BD33" s="2">
        <v>0</v>
      </c>
      <c r="BE33" s="2">
        <v>0</v>
      </c>
      <c r="BF33" s="2">
        <v>2</v>
      </c>
      <c r="BG33" s="2">
        <v>3</v>
      </c>
      <c r="BH33" s="2">
        <v>1</v>
      </c>
      <c r="BI33" s="2">
        <v>3</v>
      </c>
      <c r="BJ33" s="2">
        <v>0</v>
      </c>
      <c r="BK33" s="2">
        <v>1</v>
      </c>
      <c r="BL33" s="2">
        <v>6</v>
      </c>
      <c r="BM33" s="2">
        <v>8</v>
      </c>
      <c r="BN33" s="2">
        <v>4</v>
      </c>
      <c r="BO33" s="2">
        <f t="shared" si="0"/>
        <v>54</v>
      </c>
    </row>
    <row r="34" spans="1:67" ht="105.75" customHeight="1" x14ac:dyDescent="0.25">
      <c r="A34" s="1" t="s">
        <v>95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8</v>
      </c>
      <c r="AS34" s="2">
        <v>1</v>
      </c>
      <c r="AT34" s="2">
        <v>2</v>
      </c>
      <c r="AU34" s="2">
        <v>4</v>
      </c>
      <c r="AV34" s="2">
        <v>0</v>
      </c>
      <c r="AW34" s="2">
        <v>10</v>
      </c>
      <c r="AX34" s="2">
        <v>4</v>
      </c>
      <c r="AY34" s="2">
        <v>9</v>
      </c>
      <c r="AZ34" s="2">
        <v>10</v>
      </c>
      <c r="BA34" s="2">
        <v>16</v>
      </c>
      <c r="BB34" s="2">
        <v>8</v>
      </c>
      <c r="BC34" s="2">
        <v>18</v>
      </c>
      <c r="BD34" s="2">
        <v>21</v>
      </c>
      <c r="BE34" s="2">
        <v>11</v>
      </c>
      <c r="BF34" s="2">
        <v>10</v>
      </c>
      <c r="BG34" s="2">
        <v>17</v>
      </c>
      <c r="BH34" s="2">
        <v>9</v>
      </c>
      <c r="BI34" s="2">
        <v>4</v>
      </c>
      <c r="BJ34" s="2">
        <v>19</v>
      </c>
      <c r="BK34" s="2">
        <v>7</v>
      </c>
      <c r="BL34" s="2">
        <v>18</v>
      </c>
      <c r="BM34" s="2">
        <v>18</v>
      </c>
      <c r="BN34" s="2">
        <v>7</v>
      </c>
      <c r="BO34" s="2">
        <f t="shared" si="0"/>
        <v>231</v>
      </c>
    </row>
    <row r="35" spans="1:67" ht="105.75" customHeight="1" x14ac:dyDescent="0.25">
      <c r="A35" s="1" t="s">
        <v>96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6</v>
      </c>
      <c r="AU35" s="2">
        <v>0</v>
      </c>
      <c r="AV35" s="2">
        <v>1</v>
      </c>
      <c r="AW35" s="2">
        <v>0</v>
      </c>
      <c r="AX35" s="2">
        <v>0</v>
      </c>
      <c r="AY35" s="2">
        <v>0</v>
      </c>
      <c r="AZ35" s="2">
        <v>3</v>
      </c>
      <c r="BA35" s="2">
        <v>2</v>
      </c>
      <c r="BB35" s="2">
        <v>10</v>
      </c>
      <c r="BC35" s="2">
        <v>1</v>
      </c>
      <c r="BD35" s="2">
        <v>2</v>
      </c>
      <c r="BE35" s="2">
        <v>2</v>
      </c>
      <c r="BF35" s="2">
        <v>1</v>
      </c>
      <c r="BG35" s="2">
        <v>1</v>
      </c>
      <c r="BH35" s="2">
        <v>1</v>
      </c>
      <c r="BI35" s="2">
        <v>18</v>
      </c>
      <c r="BJ35" s="2">
        <v>1</v>
      </c>
      <c r="BK35" s="2">
        <v>0</v>
      </c>
      <c r="BL35" s="2">
        <v>2</v>
      </c>
      <c r="BM35" s="2">
        <v>1</v>
      </c>
      <c r="BN35" s="2">
        <v>1</v>
      </c>
      <c r="BO35" s="2">
        <f t="shared" si="0"/>
        <v>53</v>
      </c>
    </row>
    <row r="36" spans="1:67" ht="105.75" customHeight="1" x14ac:dyDescent="0.25">
      <c r="A36" s="1" t="s">
        <v>97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1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2</v>
      </c>
      <c r="AV36" s="2">
        <v>1</v>
      </c>
      <c r="AW36" s="2">
        <v>0</v>
      </c>
      <c r="AX36" s="2">
        <v>1</v>
      </c>
      <c r="AY36" s="2">
        <v>3</v>
      </c>
      <c r="AZ36" s="2">
        <v>1</v>
      </c>
      <c r="BA36" s="2">
        <v>11</v>
      </c>
      <c r="BB36" s="2">
        <v>7</v>
      </c>
      <c r="BC36" s="2">
        <v>5</v>
      </c>
      <c r="BD36" s="2">
        <v>6</v>
      </c>
      <c r="BE36" s="2">
        <v>14</v>
      </c>
      <c r="BF36" s="2">
        <v>5</v>
      </c>
      <c r="BG36" s="2">
        <v>17</v>
      </c>
      <c r="BH36" s="2">
        <v>4</v>
      </c>
      <c r="BI36" s="2">
        <v>4</v>
      </c>
      <c r="BJ36" s="2">
        <v>1</v>
      </c>
      <c r="BK36" s="2">
        <v>0</v>
      </c>
      <c r="BL36" s="2">
        <v>1</v>
      </c>
      <c r="BM36" s="2">
        <v>2</v>
      </c>
      <c r="BN36" s="2">
        <v>1</v>
      </c>
      <c r="BO36" s="2">
        <f t="shared" si="0"/>
        <v>87</v>
      </c>
    </row>
    <row r="37" spans="1:67" ht="105.75" customHeight="1" x14ac:dyDescent="0.25">
      <c r="A37" s="1" t="s">
        <v>98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1</v>
      </c>
      <c r="BB37" s="2">
        <v>0</v>
      </c>
      <c r="BC37" s="2">
        <v>0</v>
      </c>
      <c r="BD37" s="2">
        <v>0</v>
      </c>
      <c r="BE37" s="2">
        <v>0</v>
      </c>
      <c r="BF37" s="2">
        <v>2</v>
      </c>
      <c r="BG37" s="2">
        <v>0</v>
      </c>
      <c r="BH37" s="2">
        <v>0</v>
      </c>
      <c r="BI37" s="2">
        <v>0</v>
      </c>
      <c r="BJ37" s="2">
        <v>0</v>
      </c>
      <c r="BK37" s="2">
        <v>1</v>
      </c>
      <c r="BL37" s="2">
        <v>0</v>
      </c>
      <c r="BM37" s="2">
        <v>2</v>
      </c>
      <c r="BN37" s="2">
        <v>0</v>
      </c>
      <c r="BO37" s="2">
        <f t="shared" si="0"/>
        <v>6</v>
      </c>
    </row>
    <row r="38" spans="1:67" ht="105.75" customHeight="1" x14ac:dyDescent="0.25">
      <c r="A38" s="1" t="s">
        <v>99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5</v>
      </c>
      <c r="BJ38" s="2">
        <v>0</v>
      </c>
      <c r="BK38" s="2">
        <v>2</v>
      </c>
      <c r="BL38" s="2">
        <v>0</v>
      </c>
      <c r="BM38" s="2">
        <v>0</v>
      </c>
      <c r="BN38" s="2">
        <v>1</v>
      </c>
      <c r="BO38" s="2">
        <f t="shared" si="0"/>
        <v>8</v>
      </c>
    </row>
    <row r="39" spans="1:67" ht="105.75" customHeight="1" x14ac:dyDescent="0.25">
      <c r="A39" s="1" t="s">
        <v>100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1</v>
      </c>
      <c r="AW39" s="2">
        <v>0</v>
      </c>
      <c r="AX39" s="2">
        <v>4</v>
      </c>
      <c r="AY39" s="2">
        <v>2</v>
      </c>
      <c r="AZ39" s="2">
        <v>0</v>
      </c>
      <c r="BA39" s="2">
        <v>1</v>
      </c>
      <c r="BB39" s="2">
        <v>1</v>
      </c>
      <c r="BC39" s="2">
        <v>0</v>
      </c>
      <c r="BD39" s="2">
        <v>0</v>
      </c>
      <c r="BE39" s="2">
        <v>0</v>
      </c>
      <c r="BF39" s="2">
        <v>0</v>
      </c>
      <c r="BG39" s="2">
        <v>1</v>
      </c>
      <c r="BH39" s="2">
        <v>3</v>
      </c>
      <c r="BI39" s="2">
        <v>1</v>
      </c>
      <c r="BJ39" s="2">
        <v>9</v>
      </c>
      <c r="BK39" s="2">
        <v>0</v>
      </c>
      <c r="BL39" s="2">
        <v>2</v>
      </c>
      <c r="BM39" s="2">
        <v>2</v>
      </c>
      <c r="BN39" s="2">
        <v>0</v>
      </c>
      <c r="BO39" s="2">
        <f t="shared" ref="BO39:BO70" si="1">SUM(B39:BN39)</f>
        <v>27</v>
      </c>
    </row>
    <row r="40" spans="1:67" ht="105.75" customHeight="1" x14ac:dyDescent="0.25">
      <c r="A40" s="1" t="s">
        <v>101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1</v>
      </c>
      <c r="AZ40" s="2">
        <v>0</v>
      </c>
      <c r="BA40" s="2">
        <v>0</v>
      </c>
      <c r="BB40" s="2">
        <v>0</v>
      </c>
      <c r="BC40" s="2">
        <v>0</v>
      </c>
      <c r="BD40" s="2">
        <v>1</v>
      </c>
      <c r="BE40" s="2">
        <v>0</v>
      </c>
      <c r="BF40" s="2">
        <v>2</v>
      </c>
      <c r="BG40" s="2">
        <v>0</v>
      </c>
      <c r="BH40" s="2">
        <v>2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f t="shared" si="1"/>
        <v>8</v>
      </c>
    </row>
    <row r="41" spans="1:67" ht="105.75" customHeight="1" x14ac:dyDescent="0.25">
      <c r="A41" s="1" t="s">
        <v>102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4</v>
      </c>
      <c r="AI41" s="2">
        <v>0</v>
      </c>
      <c r="AJ41" s="2">
        <v>0</v>
      </c>
      <c r="AK41" s="2">
        <v>2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4</v>
      </c>
      <c r="AR41" s="2">
        <v>0</v>
      </c>
      <c r="AS41" s="2">
        <v>0</v>
      </c>
      <c r="AT41" s="2">
        <v>2</v>
      </c>
      <c r="AU41" s="2">
        <v>0</v>
      </c>
      <c r="AV41" s="2">
        <v>0</v>
      </c>
      <c r="AW41" s="2">
        <v>2</v>
      </c>
      <c r="AX41" s="2">
        <v>0</v>
      </c>
      <c r="AY41" s="2">
        <v>0</v>
      </c>
      <c r="AZ41" s="2">
        <v>0</v>
      </c>
      <c r="BA41" s="2">
        <v>3</v>
      </c>
      <c r="BB41" s="2">
        <v>5</v>
      </c>
      <c r="BC41" s="2">
        <v>0</v>
      </c>
      <c r="BD41" s="2">
        <v>2</v>
      </c>
      <c r="BE41" s="2">
        <v>6</v>
      </c>
      <c r="BF41" s="2">
        <v>6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f t="shared" si="1"/>
        <v>36</v>
      </c>
    </row>
    <row r="42" spans="1:67" ht="105.75" customHeight="1" x14ac:dyDescent="0.25">
      <c r="A42" s="1" t="s">
        <v>103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1</v>
      </c>
      <c r="AV42" s="2">
        <v>0</v>
      </c>
      <c r="AW42" s="2">
        <v>0</v>
      </c>
      <c r="AX42" s="2">
        <v>0</v>
      </c>
      <c r="AY42" s="2">
        <v>1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4</v>
      </c>
      <c r="BG42" s="2">
        <v>0</v>
      </c>
      <c r="BH42" s="2">
        <v>1</v>
      </c>
      <c r="BI42" s="2">
        <v>1</v>
      </c>
      <c r="BJ42" s="2">
        <v>0</v>
      </c>
      <c r="BK42" s="2">
        <v>0</v>
      </c>
      <c r="BL42" s="2">
        <v>2</v>
      </c>
      <c r="BM42" s="2">
        <v>0</v>
      </c>
      <c r="BN42" s="2">
        <v>0</v>
      </c>
      <c r="BO42" s="2">
        <f t="shared" si="1"/>
        <v>10</v>
      </c>
    </row>
    <row r="43" spans="1:67" ht="105.75" customHeight="1" x14ac:dyDescent="0.25">
      <c r="A43" s="1" t="s">
        <v>104</v>
      </c>
      <c r="B43" s="2">
        <v>12</v>
      </c>
      <c r="C43" s="2">
        <v>29</v>
      </c>
      <c r="D43" s="2">
        <v>28</v>
      </c>
      <c r="E43" s="2">
        <v>46</v>
      </c>
      <c r="F43" s="2">
        <v>26</v>
      </c>
      <c r="G43" s="2">
        <v>13</v>
      </c>
      <c r="H43" s="2">
        <v>66</v>
      </c>
      <c r="I43" s="2">
        <v>126</v>
      </c>
      <c r="J43" s="2">
        <v>38</v>
      </c>
      <c r="K43" s="2">
        <v>27</v>
      </c>
      <c r="L43" s="2">
        <v>75</v>
      </c>
      <c r="M43" s="2">
        <v>15</v>
      </c>
      <c r="N43" s="2">
        <v>45</v>
      </c>
      <c r="O43" s="2">
        <v>29</v>
      </c>
      <c r="P43" s="2">
        <v>66</v>
      </c>
      <c r="Q43" s="2">
        <v>4</v>
      </c>
      <c r="R43" s="2">
        <v>349</v>
      </c>
      <c r="S43" s="2">
        <v>188</v>
      </c>
      <c r="T43" s="2">
        <v>48</v>
      </c>
      <c r="U43" s="2">
        <v>19</v>
      </c>
      <c r="V43" s="2">
        <v>34</v>
      </c>
      <c r="W43" s="2">
        <v>25</v>
      </c>
      <c r="X43" s="2">
        <v>23</v>
      </c>
      <c r="Y43" s="2">
        <v>39</v>
      </c>
      <c r="Z43" s="2">
        <v>42</v>
      </c>
      <c r="AA43" s="2">
        <v>26</v>
      </c>
      <c r="AB43" s="2">
        <v>51</v>
      </c>
      <c r="AC43" s="2">
        <v>51</v>
      </c>
      <c r="AD43" s="2">
        <v>27</v>
      </c>
      <c r="AE43" s="2">
        <v>18</v>
      </c>
      <c r="AF43" s="2">
        <v>24</v>
      </c>
      <c r="AG43" s="2">
        <v>33</v>
      </c>
      <c r="AH43" s="2">
        <v>47</v>
      </c>
      <c r="AI43" s="2">
        <v>17</v>
      </c>
      <c r="AJ43" s="2">
        <v>34</v>
      </c>
      <c r="AK43" s="2">
        <v>34</v>
      </c>
      <c r="AL43" s="2">
        <v>15</v>
      </c>
      <c r="AM43" s="2">
        <v>21</v>
      </c>
      <c r="AN43" s="2">
        <v>16</v>
      </c>
      <c r="AO43" s="2">
        <v>17</v>
      </c>
      <c r="AP43" s="2">
        <v>6</v>
      </c>
      <c r="AQ43" s="2">
        <v>51</v>
      </c>
      <c r="AR43" s="2">
        <v>19</v>
      </c>
      <c r="AS43" s="2">
        <v>47</v>
      </c>
      <c r="AT43" s="2">
        <v>15</v>
      </c>
      <c r="AU43" s="2">
        <v>72</v>
      </c>
      <c r="AV43" s="2">
        <v>32</v>
      </c>
      <c r="AW43" s="2">
        <v>22</v>
      </c>
      <c r="AX43" s="2">
        <v>23</v>
      </c>
      <c r="AY43" s="2">
        <v>23</v>
      </c>
      <c r="AZ43" s="2">
        <v>22</v>
      </c>
      <c r="BA43" s="2">
        <v>16</v>
      </c>
      <c r="BB43" s="2">
        <v>17</v>
      </c>
      <c r="BC43" s="2">
        <v>31</v>
      </c>
      <c r="BD43" s="2">
        <v>16</v>
      </c>
      <c r="BE43" s="2">
        <v>9</v>
      </c>
      <c r="BF43" s="2">
        <v>4</v>
      </c>
      <c r="BG43" s="2">
        <v>9</v>
      </c>
      <c r="BH43" s="2">
        <v>1</v>
      </c>
      <c r="BI43" s="2">
        <v>13</v>
      </c>
      <c r="BJ43" s="2">
        <v>2</v>
      </c>
      <c r="BK43" s="2">
        <v>4</v>
      </c>
      <c r="BL43" s="2">
        <v>3</v>
      </c>
      <c r="BM43" s="2">
        <v>0</v>
      </c>
      <c r="BN43" s="2">
        <v>4</v>
      </c>
      <c r="BO43" s="2">
        <f t="shared" si="1"/>
        <v>2304</v>
      </c>
    </row>
    <row r="44" spans="1:67" ht="105.75" customHeight="1" x14ac:dyDescent="0.25">
      <c r="A44" s="1" t="s">
        <v>105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1</v>
      </c>
      <c r="AD44" s="2">
        <v>1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2</v>
      </c>
      <c r="AU44" s="2">
        <v>0</v>
      </c>
      <c r="AV44" s="2">
        <v>0</v>
      </c>
      <c r="AW44" s="2">
        <v>1</v>
      </c>
      <c r="AX44" s="2">
        <v>3</v>
      </c>
      <c r="AY44" s="2">
        <v>4</v>
      </c>
      <c r="AZ44" s="2">
        <v>0</v>
      </c>
      <c r="BA44" s="2">
        <v>0</v>
      </c>
      <c r="BB44" s="2">
        <v>6</v>
      </c>
      <c r="BC44" s="2">
        <v>13</v>
      </c>
      <c r="BD44" s="2">
        <v>9</v>
      </c>
      <c r="BE44" s="2">
        <v>2</v>
      </c>
      <c r="BF44" s="2">
        <v>2</v>
      </c>
      <c r="BG44" s="2">
        <v>2</v>
      </c>
      <c r="BH44" s="2">
        <v>0</v>
      </c>
      <c r="BI44" s="2">
        <v>4</v>
      </c>
      <c r="BJ44" s="2">
        <v>13</v>
      </c>
      <c r="BK44" s="2">
        <v>4</v>
      </c>
      <c r="BL44" s="2">
        <v>0</v>
      </c>
      <c r="BM44" s="2">
        <v>6</v>
      </c>
      <c r="BN44" s="2">
        <v>2</v>
      </c>
      <c r="BO44" s="2">
        <f t="shared" si="1"/>
        <v>79</v>
      </c>
    </row>
    <row r="45" spans="1:67" ht="105.75" customHeight="1" x14ac:dyDescent="0.25">
      <c r="A45" s="1" t="s">
        <v>106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1</v>
      </c>
      <c r="AY45" s="2">
        <v>0</v>
      </c>
      <c r="AZ45" s="2">
        <v>0</v>
      </c>
      <c r="BA45" s="2">
        <v>0</v>
      </c>
      <c r="BB45" s="2">
        <v>0</v>
      </c>
      <c r="BC45" s="2">
        <v>12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f t="shared" si="1"/>
        <v>13</v>
      </c>
    </row>
    <row r="46" spans="1:67" ht="105.75" customHeight="1" x14ac:dyDescent="0.25">
      <c r="A46" s="1" t="s">
        <v>119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f t="shared" si="1"/>
        <v>1</v>
      </c>
    </row>
    <row r="47" spans="1:67" ht="105.75" customHeight="1" x14ac:dyDescent="0.25">
      <c r="A47" s="1" t="s">
        <v>107</v>
      </c>
      <c r="B47" s="2">
        <v>21</v>
      </c>
      <c r="C47" s="2">
        <v>31</v>
      </c>
      <c r="D47" s="2">
        <v>22</v>
      </c>
      <c r="E47" s="2">
        <v>31</v>
      </c>
      <c r="F47" s="2">
        <v>30</v>
      </c>
      <c r="G47" s="2">
        <v>57</v>
      </c>
      <c r="H47" s="2">
        <v>69</v>
      </c>
      <c r="I47" s="2">
        <v>53</v>
      </c>
      <c r="J47" s="2">
        <v>30</v>
      </c>
      <c r="K47" s="2">
        <v>39</v>
      </c>
      <c r="L47" s="2">
        <v>43</v>
      </c>
      <c r="M47" s="2">
        <v>41</v>
      </c>
      <c r="N47" s="2">
        <v>31</v>
      </c>
      <c r="O47" s="2">
        <v>46</v>
      </c>
      <c r="P47" s="2">
        <v>61</v>
      </c>
      <c r="Q47" s="2">
        <v>82</v>
      </c>
      <c r="R47" s="2">
        <v>95</v>
      </c>
      <c r="S47" s="2">
        <v>34</v>
      </c>
      <c r="T47" s="2">
        <v>34</v>
      </c>
      <c r="U47" s="2">
        <v>32</v>
      </c>
      <c r="V47" s="2">
        <v>31</v>
      </c>
      <c r="W47" s="2">
        <v>79</v>
      </c>
      <c r="X47" s="2">
        <v>43</v>
      </c>
      <c r="Y47" s="2">
        <v>25</v>
      </c>
      <c r="Z47" s="2">
        <v>70</v>
      </c>
      <c r="AA47" s="2">
        <v>119</v>
      </c>
      <c r="AB47" s="2">
        <v>39</v>
      </c>
      <c r="AC47" s="2">
        <v>27</v>
      </c>
      <c r="AD47" s="2">
        <v>29</v>
      </c>
      <c r="AE47" s="2">
        <v>27</v>
      </c>
      <c r="AF47" s="2">
        <v>17</v>
      </c>
      <c r="AG47" s="2">
        <v>34</v>
      </c>
      <c r="AH47" s="2">
        <v>35</v>
      </c>
      <c r="AI47" s="2">
        <v>36</v>
      </c>
      <c r="AJ47" s="2">
        <v>24</v>
      </c>
      <c r="AK47" s="2">
        <v>21</v>
      </c>
      <c r="AL47" s="2">
        <v>33</v>
      </c>
      <c r="AM47" s="2">
        <v>11</v>
      </c>
      <c r="AN47" s="2">
        <v>5</v>
      </c>
      <c r="AO47" s="2">
        <v>3</v>
      </c>
      <c r="AP47" s="2">
        <v>0</v>
      </c>
      <c r="AQ47" s="2">
        <v>35</v>
      </c>
      <c r="AR47" s="2">
        <v>20</v>
      </c>
      <c r="AS47" s="2">
        <v>22</v>
      </c>
      <c r="AT47" s="2">
        <v>28</v>
      </c>
      <c r="AU47" s="2">
        <v>45</v>
      </c>
      <c r="AV47" s="2">
        <v>20</v>
      </c>
      <c r="AW47" s="2">
        <v>19</v>
      </c>
      <c r="AX47" s="2">
        <v>22</v>
      </c>
      <c r="AY47" s="2">
        <v>18</v>
      </c>
      <c r="AZ47" s="2">
        <v>14</v>
      </c>
      <c r="BA47" s="2">
        <v>27</v>
      </c>
      <c r="BB47" s="2">
        <v>24</v>
      </c>
      <c r="BC47" s="2">
        <v>75</v>
      </c>
      <c r="BD47" s="2">
        <v>2</v>
      </c>
      <c r="BE47" s="2">
        <v>0</v>
      </c>
      <c r="BF47" s="2">
        <v>5</v>
      </c>
      <c r="BG47" s="2">
        <v>11</v>
      </c>
      <c r="BH47" s="2">
        <v>6</v>
      </c>
      <c r="BI47" s="2">
        <v>3</v>
      </c>
      <c r="BJ47" s="2">
        <v>4</v>
      </c>
      <c r="BK47" s="2">
        <v>1</v>
      </c>
      <c r="BL47" s="2">
        <v>6</v>
      </c>
      <c r="BM47" s="2">
        <v>2</v>
      </c>
      <c r="BN47" s="2">
        <v>7</v>
      </c>
      <c r="BO47" s="2">
        <f t="shared" si="1"/>
        <v>2006</v>
      </c>
    </row>
    <row r="48" spans="1:67" ht="105.75" customHeight="1" x14ac:dyDescent="0.25">
      <c r="A48" s="1" t="s">
        <v>108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1</v>
      </c>
      <c r="BA48" s="2">
        <v>0</v>
      </c>
      <c r="BB48" s="2">
        <v>0</v>
      </c>
      <c r="BC48" s="2">
        <v>3</v>
      </c>
      <c r="BD48" s="2">
        <v>1</v>
      </c>
      <c r="BE48" s="2">
        <v>0</v>
      </c>
      <c r="BF48" s="2">
        <v>3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f t="shared" si="1"/>
        <v>8</v>
      </c>
    </row>
    <row r="49" spans="1:67" ht="105.75" customHeight="1" x14ac:dyDescent="0.25">
      <c r="A49" s="1" t="s">
        <v>117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2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f t="shared" si="1"/>
        <v>2</v>
      </c>
    </row>
    <row r="50" spans="1:67" ht="105.75" customHeight="1" x14ac:dyDescent="0.25">
      <c r="A50" s="1" t="s">
        <v>109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3</v>
      </c>
      <c r="BA50" s="2">
        <v>0</v>
      </c>
      <c r="BB50" s="2">
        <v>0</v>
      </c>
      <c r="BC50" s="2">
        <v>1</v>
      </c>
      <c r="BD50" s="2">
        <v>0</v>
      </c>
      <c r="BE50" s="2">
        <v>1</v>
      </c>
      <c r="BF50" s="2">
        <v>0</v>
      </c>
      <c r="BG50" s="2">
        <v>0</v>
      </c>
      <c r="BH50" s="2">
        <v>2</v>
      </c>
      <c r="BI50" s="2">
        <v>0</v>
      </c>
      <c r="BJ50" s="2">
        <v>1</v>
      </c>
      <c r="BK50" s="2">
        <v>0</v>
      </c>
      <c r="BL50" s="2">
        <v>0</v>
      </c>
      <c r="BM50" s="2">
        <v>1</v>
      </c>
      <c r="BN50" s="2">
        <v>2</v>
      </c>
      <c r="BO50" s="2">
        <f t="shared" si="1"/>
        <v>11</v>
      </c>
    </row>
    <row r="51" spans="1:67" ht="105.75" customHeight="1" x14ac:dyDescent="0.25">
      <c r="A51" s="1" t="s">
        <v>110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2</v>
      </c>
      <c r="AM51" s="2">
        <v>0</v>
      </c>
      <c r="AN51" s="2">
        <v>2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1</v>
      </c>
      <c r="AZ51" s="2">
        <v>0</v>
      </c>
      <c r="BA51" s="2">
        <v>0</v>
      </c>
      <c r="BB51" s="2">
        <v>0</v>
      </c>
      <c r="BC51" s="2">
        <v>0</v>
      </c>
      <c r="BD51" s="2">
        <v>1</v>
      </c>
      <c r="BE51" s="2">
        <v>4</v>
      </c>
      <c r="BF51" s="2">
        <v>0</v>
      </c>
      <c r="BG51" s="2">
        <v>2</v>
      </c>
      <c r="BH51" s="2">
        <v>3</v>
      </c>
      <c r="BI51" s="2">
        <v>1</v>
      </c>
      <c r="BJ51" s="2">
        <v>1</v>
      </c>
      <c r="BK51" s="2">
        <v>0</v>
      </c>
      <c r="BL51" s="2">
        <v>3</v>
      </c>
      <c r="BM51" s="2">
        <v>0</v>
      </c>
      <c r="BN51" s="2">
        <v>1</v>
      </c>
      <c r="BO51" s="2">
        <f t="shared" si="1"/>
        <v>21</v>
      </c>
    </row>
    <row r="52" spans="1:67" ht="105.75" customHeight="1" x14ac:dyDescent="0.25">
      <c r="A52" s="1" t="s">
        <v>118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18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2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2</v>
      </c>
      <c r="BF52" s="2">
        <v>2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f t="shared" si="1"/>
        <v>24</v>
      </c>
    </row>
    <row r="53" spans="1:67" ht="105.75" customHeight="1" x14ac:dyDescent="0.25">
      <c r="A53" s="1" t="s">
        <v>111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1</v>
      </c>
      <c r="BE53" s="2">
        <v>0</v>
      </c>
      <c r="BF53" s="2">
        <v>0</v>
      </c>
      <c r="BG53" s="2">
        <v>1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f t="shared" si="1"/>
        <v>2</v>
      </c>
    </row>
    <row r="54" spans="1:67" ht="105.75" customHeight="1" x14ac:dyDescent="0.25">
      <c r="A54" s="1" t="s">
        <v>112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24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24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2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1</v>
      </c>
      <c r="AZ54" s="2">
        <v>0</v>
      </c>
      <c r="BA54" s="2">
        <v>2</v>
      </c>
      <c r="BB54" s="2">
        <v>0</v>
      </c>
      <c r="BC54" s="2">
        <v>0</v>
      </c>
      <c r="BD54" s="2">
        <v>0</v>
      </c>
      <c r="BE54" s="2">
        <v>3</v>
      </c>
      <c r="BF54" s="2">
        <v>1</v>
      </c>
      <c r="BG54" s="2">
        <v>1</v>
      </c>
      <c r="BH54" s="2">
        <v>2</v>
      </c>
      <c r="BI54" s="2">
        <v>1</v>
      </c>
      <c r="BJ54" s="2">
        <v>0</v>
      </c>
      <c r="BK54" s="2">
        <v>1</v>
      </c>
      <c r="BL54" s="2">
        <v>2</v>
      </c>
      <c r="BM54" s="2">
        <v>3</v>
      </c>
      <c r="BN54" s="2">
        <v>1</v>
      </c>
      <c r="BO54" s="2">
        <f t="shared" si="1"/>
        <v>68</v>
      </c>
    </row>
    <row r="55" spans="1:67" ht="105.75" customHeight="1" x14ac:dyDescent="0.25">
      <c r="A55" s="1" t="s">
        <v>113</v>
      </c>
      <c r="B55" s="2">
        <v>0</v>
      </c>
      <c r="C55" s="2">
        <v>2</v>
      </c>
      <c r="D55" s="2">
        <v>0</v>
      </c>
      <c r="E55" s="2">
        <v>0</v>
      </c>
      <c r="F55" s="2">
        <v>0</v>
      </c>
      <c r="G55" s="2">
        <v>2</v>
      </c>
      <c r="H55" s="2">
        <v>2</v>
      </c>
      <c r="I55" s="2">
        <v>0</v>
      </c>
      <c r="J55" s="2">
        <v>9</v>
      </c>
      <c r="K55" s="2">
        <v>0</v>
      </c>
      <c r="L55" s="2">
        <v>0</v>
      </c>
      <c r="M55" s="2">
        <v>0</v>
      </c>
      <c r="N55" s="2">
        <v>0</v>
      </c>
      <c r="O55" s="2">
        <v>3</v>
      </c>
      <c r="P55" s="2">
        <v>5</v>
      </c>
      <c r="Q55" s="2">
        <v>2</v>
      </c>
      <c r="R55" s="2">
        <v>0</v>
      </c>
      <c r="S55" s="2">
        <v>1</v>
      </c>
      <c r="T55" s="2">
        <v>4</v>
      </c>
      <c r="U55" s="2">
        <v>3</v>
      </c>
      <c r="V55" s="2">
        <v>3</v>
      </c>
      <c r="W55" s="2">
        <v>2</v>
      </c>
      <c r="X55" s="2">
        <v>1</v>
      </c>
      <c r="Y55" s="2">
        <v>12</v>
      </c>
      <c r="Z55" s="2">
        <v>0</v>
      </c>
      <c r="AA55" s="2">
        <v>0</v>
      </c>
      <c r="AB55" s="2">
        <v>0</v>
      </c>
      <c r="AC55" s="2">
        <v>3</v>
      </c>
      <c r="AD55" s="2">
        <v>0</v>
      </c>
      <c r="AE55" s="2">
        <v>5</v>
      </c>
      <c r="AF55" s="2">
        <v>3</v>
      </c>
      <c r="AG55" s="2">
        <v>1</v>
      </c>
      <c r="AH55" s="2">
        <v>0</v>
      </c>
      <c r="AI55" s="2">
        <v>4</v>
      </c>
      <c r="AJ55" s="2">
        <v>0</v>
      </c>
      <c r="AK55" s="2">
        <v>1</v>
      </c>
      <c r="AL55" s="2">
        <v>0</v>
      </c>
      <c r="AM55" s="2">
        <v>4</v>
      </c>
      <c r="AN55" s="2">
        <v>0</v>
      </c>
      <c r="AO55" s="2">
        <v>4</v>
      </c>
      <c r="AP55" s="2">
        <v>0</v>
      </c>
      <c r="AQ55" s="2">
        <v>1</v>
      </c>
      <c r="AR55" s="2">
        <v>0</v>
      </c>
      <c r="AS55" s="2">
        <v>1</v>
      </c>
      <c r="AT55" s="2">
        <v>6</v>
      </c>
      <c r="AU55" s="2">
        <v>1</v>
      </c>
      <c r="AV55" s="2">
        <v>1</v>
      </c>
      <c r="AW55" s="2">
        <v>1</v>
      </c>
      <c r="AX55" s="2">
        <v>0</v>
      </c>
      <c r="AY55" s="2">
        <v>0</v>
      </c>
      <c r="AZ55" s="2">
        <v>6</v>
      </c>
      <c r="BA55" s="2">
        <v>6</v>
      </c>
      <c r="BB55" s="2">
        <v>9</v>
      </c>
      <c r="BC55" s="2">
        <v>2</v>
      </c>
      <c r="BD55" s="2">
        <v>2</v>
      </c>
      <c r="BE55" s="2">
        <v>4</v>
      </c>
      <c r="BF55" s="2">
        <v>2</v>
      </c>
      <c r="BG55" s="2">
        <v>3</v>
      </c>
      <c r="BH55" s="2">
        <v>0</v>
      </c>
      <c r="BI55" s="2">
        <v>2</v>
      </c>
      <c r="BJ55" s="2">
        <v>1</v>
      </c>
      <c r="BK55" s="2">
        <v>4</v>
      </c>
      <c r="BL55" s="2">
        <v>1</v>
      </c>
      <c r="BM55" s="2">
        <v>3</v>
      </c>
      <c r="BN55" s="2">
        <v>2</v>
      </c>
      <c r="BO55" s="2">
        <f t="shared" si="1"/>
        <v>134</v>
      </c>
    </row>
    <row r="56" spans="1:67" ht="37.5" customHeight="1" x14ac:dyDescent="0.25">
      <c r="A56" s="11" t="s">
        <v>3</v>
      </c>
      <c r="B56" s="2">
        <f>SUBTOTAL(109,Tabla4[ene-12])</f>
        <v>654</v>
      </c>
      <c r="C56" s="2">
        <f>SUBTOTAL(109,Tabla4[feb-12])</f>
        <v>1040</v>
      </c>
      <c r="D56" s="2">
        <f>SUBTOTAL(109,Tabla4[mar-12])</f>
        <v>808</v>
      </c>
      <c r="E56" s="2">
        <f>SUBTOTAL(109,Tabla4[abr-12])</f>
        <v>680</v>
      </c>
      <c r="F56" s="2">
        <f>SUBTOTAL(109,Tabla4[may-12])</f>
        <v>1067</v>
      </c>
      <c r="G56" s="2">
        <f>SUBTOTAL(109,Tabla4[jun-12])</f>
        <v>923</v>
      </c>
      <c r="H56" s="2">
        <f>SUBTOTAL(109,Tabla4[jul-12])</f>
        <v>924</v>
      </c>
      <c r="I56" s="2">
        <f>SUBTOTAL(109,Tabla4[ago-12])</f>
        <v>807</v>
      </c>
      <c r="J56" s="2">
        <f>SUBTOTAL(109,Tabla4[sep-12])</f>
        <v>1344</v>
      </c>
      <c r="K56" s="2">
        <f>SUBTOTAL(109,Tabla4[oct-12])</f>
        <v>676</v>
      </c>
      <c r="L56" s="2">
        <f>SUBTOTAL(109,Tabla4[nov-12])</f>
        <v>855</v>
      </c>
      <c r="M56" s="2">
        <f>SUBTOTAL(109,Tabla4[dic-12])</f>
        <v>595</v>
      </c>
      <c r="N56" s="2">
        <f>SUBTOTAL(109,Tabla4[ene-13])</f>
        <v>735</v>
      </c>
      <c r="O56" s="2">
        <f>SUBTOTAL(109,Tabla4[feb-13])</f>
        <v>1038</v>
      </c>
      <c r="P56" s="2">
        <f>SUBTOTAL(109,Tabla4[mar-13])</f>
        <v>1446</v>
      </c>
      <c r="Q56" s="2">
        <f>SUBTOTAL(109,Tabla4[abr-13])</f>
        <v>1019</v>
      </c>
      <c r="R56" s="2">
        <f>SUBTOTAL(109,Tabla4[may-13])</f>
        <v>1451</v>
      </c>
      <c r="S56" s="2">
        <f>SUBTOTAL(109,Tabla4[jun-13])</f>
        <v>1079</v>
      </c>
      <c r="T56" s="2">
        <f>SUBTOTAL(109,Tabla4[jul-13])</f>
        <v>1182</v>
      </c>
      <c r="U56" s="2">
        <f>SUBTOTAL(109,Tabla4[ago-13])</f>
        <v>999</v>
      </c>
      <c r="V56" s="2">
        <f>SUBTOTAL(109,Tabla4[sep-13])</f>
        <v>980</v>
      </c>
      <c r="W56" s="2">
        <f>SUBTOTAL(109,Tabla4[oct-13])</f>
        <v>1176</v>
      </c>
      <c r="X56" s="2">
        <f>SUBTOTAL(109,Tabla4[nov-13])</f>
        <v>1132</v>
      </c>
      <c r="Y56" s="2">
        <f>SUBTOTAL(109,Tabla4[dic-13])</f>
        <v>1141</v>
      </c>
      <c r="Z56" s="2">
        <f>SUBTOTAL(109,Tabla4[ene-14])</f>
        <v>839</v>
      </c>
      <c r="AA56" s="2">
        <f>SUBTOTAL(109,Tabla4[feb-14])</f>
        <v>816</v>
      </c>
      <c r="AB56" s="2">
        <f>SUBTOTAL(109,Tabla4[mar-14])</f>
        <v>845</v>
      </c>
      <c r="AC56" s="2">
        <f>SUBTOTAL(109,Tabla4[abr-14])</f>
        <v>632</v>
      </c>
      <c r="AD56" s="2">
        <f>SUBTOTAL(109,Tabla4[may-14])</f>
        <v>749</v>
      </c>
      <c r="AE56" s="2">
        <f>SUBTOTAL(109,Tabla4[jun-14])</f>
        <v>801</v>
      </c>
      <c r="AF56" s="2">
        <f>SUBTOTAL(109,Tabla4[jul-14])</f>
        <v>797</v>
      </c>
      <c r="AG56" s="2">
        <f>SUBTOTAL(109,Tabla4[ago-14])</f>
        <v>694</v>
      </c>
      <c r="AH56" s="2">
        <f>SUBTOTAL(109,Tabla4[sep-14])</f>
        <v>641</v>
      </c>
      <c r="AI56" s="2">
        <f>SUBTOTAL(109,Tabla4[oct-14])</f>
        <v>772</v>
      </c>
      <c r="AJ56" s="2">
        <f>SUBTOTAL(109,Tabla4[nov-14])</f>
        <v>862</v>
      </c>
      <c r="AK56" s="2">
        <f>SUBTOTAL(109,Tabla4[dic-14])</f>
        <v>575</v>
      </c>
      <c r="AL56" s="2">
        <f>SUBTOTAL(109,Tabla4[ene-15])</f>
        <v>757</v>
      </c>
      <c r="AM56" s="2">
        <f>SUBTOTAL(109,Tabla4[feb-15])</f>
        <v>281</v>
      </c>
      <c r="AN56" s="2">
        <f>SUBTOTAL(109,Tabla4[mar-15])</f>
        <v>171</v>
      </c>
      <c r="AO56" s="2">
        <f>SUBTOTAL(109,Tabla4[abr-15])</f>
        <v>70</v>
      </c>
      <c r="AP56" s="2">
        <f>SUBTOTAL(109,Tabla4[may-15])</f>
        <v>55</v>
      </c>
      <c r="AQ56" s="2">
        <f>SUBTOTAL(109,Tabla4[jun-15])</f>
        <v>1728</v>
      </c>
      <c r="AR56" s="2">
        <f>SUBTOTAL(109,Tabla4[jul-15])</f>
        <v>900</v>
      </c>
      <c r="AS56" s="2">
        <f>SUBTOTAL(109,Tabla4[ago-15])</f>
        <v>1090</v>
      </c>
      <c r="AT56" s="2">
        <f>SUBTOTAL(109,Tabla4[sep-15])</f>
        <v>898</v>
      </c>
      <c r="AU56" s="2">
        <f>SUBTOTAL(109,Tabla4[oct-15])</f>
        <v>1056</v>
      </c>
      <c r="AV56" s="2">
        <f>SUBTOTAL(109,Tabla4[nov-15])</f>
        <v>607</v>
      </c>
      <c r="AW56" s="2">
        <f>SUBTOTAL(109,Tabla4[dic-15])</f>
        <v>496</v>
      </c>
      <c r="AX56" s="2">
        <f>SUBTOTAL(109,Tabla4[ene-16])</f>
        <v>680</v>
      </c>
      <c r="AY56" s="2">
        <f>SUBTOTAL(109,Tabla4[feb-16])</f>
        <v>497</v>
      </c>
      <c r="AZ56" s="2">
        <f>SUBTOTAL(109,Tabla4[mar-16])</f>
        <v>577</v>
      </c>
      <c r="BA56" s="2">
        <f>SUBTOTAL(109,Tabla4[abr-16])</f>
        <v>903</v>
      </c>
      <c r="BB56" s="2">
        <f>SUBTOTAL(109,Tabla4[may-16])</f>
        <v>610</v>
      </c>
      <c r="BC56" s="2">
        <f>SUBTOTAL(109,Tabla4[jun-16])</f>
        <v>553</v>
      </c>
      <c r="BD56" s="2">
        <f>SUBTOTAL(109,Tabla4[jul-16])</f>
        <v>273</v>
      </c>
      <c r="BE56" s="2">
        <f>SUBTOTAL(109,Tabla4[ago-16])</f>
        <v>234</v>
      </c>
      <c r="BF56" s="2">
        <f>SUBTOTAL(109,Tabla4[sep-16])</f>
        <v>258</v>
      </c>
      <c r="BG56" s="2">
        <f>SUBTOTAL(109,Tabla4[oct-16])</f>
        <v>280</v>
      </c>
      <c r="BH56" s="2">
        <f>SUBTOTAL(109,Tabla4[nov-16])</f>
        <v>201</v>
      </c>
      <c r="BI56" s="2">
        <f>SUBTOTAL(109,Tabla4[dic-16])</f>
        <v>197</v>
      </c>
      <c r="BJ56" s="2">
        <f>SUBTOTAL(109,Tabla4[ene-17])</f>
        <v>349</v>
      </c>
      <c r="BK56" s="2">
        <f>SUBTOTAL(109,Tabla4[feb-17])</f>
        <v>249</v>
      </c>
      <c r="BL56" s="2">
        <f>SUBTOTAL(109,Tabla4[mar-17])</f>
        <v>239</v>
      </c>
      <c r="BM56" s="2">
        <f>SUBTOTAL(109,Tabla4[abr-17])</f>
        <v>172</v>
      </c>
      <c r="BN56" s="2">
        <f>SUBTOTAL(109,Tabla4[may-17])</f>
        <v>246</v>
      </c>
      <c r="BO56" s="2">
        <f>SUBTOTAL(109,Tabla4[Total])</f>
        <v>47401</v>
      </c>
    </row>
  </sheetData>
  <pageMargins left="0.70866141732283472" right="0.70866141732283472" top="1.3385826771653544" bottom="0.74803149606299213" header="0.31496062992125984" footer="0.31496062992125984"/>
  <pageSetup scale="60" orientation="landscape" r:id="rId1"/>
  <headerFooter>
    <oddHeader>&amp;C&amp;G
"2017. Año del Centenario de las Constituciones Mexicana y Mexiquense".</oddHeader>
    <oddFooter>&amp;LAv. Independencia Ote. 616. Colonia Santa Clara, Toluca, México
Tel. (722) 226 0494 ext. 15442&amp;RDIRECCIÓN GENERAL DE FINANZAS Y PLANEACIÓN
DIRECCIÓN DE INFORMACIÓN Y ESTADÍSTICA
Pág &amp;P de &amp;N</oddFoot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6"/>
  <sheetViews>
    <sheetView zoomScaleNormal="100" workbookViewId="0">
      <pane xSplit="1" ySplit="6" topLeftCell="B7" activePane="bottomRight" state="frozen"/>
      <selection activeCell="A10" sqref="A10"/>
      <selection pane="topRight" activeCell="A10" sqref="A10"/>
      <selection pane="bottomLeft" activeCell="A10" sqref="A10"/>
      <selection pane="bottomRight" activeCell="B7" sqref="B7"/>
    </sheetView>
  </sheetViews>
  <sheetFormatPr baseColWidth="10" defaultColWidth="0" defaultRowHeight="15" x14ac:dyDescent="0.25"/>
  <cols>
    <col min="1" max="1" width="71.42578125" customWidth="1"/>
    <col min="2" max="67" width="11.42578125" customWidth="1"/>
    <col min="68" max="16384" width="11.42578125" hidden="1"/>
  </cols>
  <sheetData>
    <row r="1" spans="1:67" ht="56.25" customHeight="1" x14ac:dyDescent="0.3">
      <c r="A1" s="13" t="s">
        <v>121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</row>
    <row r="2" spans="1:67" ht="3.75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67" ht="15.75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67" ht="15.75" x14ac:dyDescent="0.2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6" spans="1:67" ht="37.5" customHeight="1" x14ac:dyDescent="0.25">
      <c r="A6" s="3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  <c r="AA6" s="4" t="s">
        <v>30</v>
      </c>
      <c r="AB6" s="4" t="s">
        <v>31</v>
      </c>
      <c r="AC6" s="4" t="s">
        <v>32</v>
      </c>
      <c r="AD6" s="4" t="s">
        <v>33</v>
      </c>
      <c r="AE6" s="4" t="s">
        <v>34</v>
      </c>
      <c r="AF6" s="4" t="s">
        <v>35</v>
      </c>
      <c r="AG6" s="4" t="s">
        <v>36</v>
      </c>
      <c r="AH6" s="4" t="s">
        <v>37</v>
      </c>
      <c r="AI6" s="4" t="s">
        <v>38</v>
      </c>
      <c r="AJ6" s="4" t="s">
        <v>39</v>
      </c>
      <c r="AK6" s="4" t="s">
        <v>40</v>
      </c>
      <c r="AL6" s="4" t="s">
        <v>41</v>
      </c>
      <c r="AM6" s="4" t="s">
        <v>42</v>
      </c>
      <c r="AN6" s="4" t="s">
        <v>43</v>
      </c>
      <c r="AO6" s="4" t="s">
        <v>44</v>
      </c>
      <c r="AP6" s="4" t="s">
        <v>45</v>
      </c>
      <c r="AQ6" s="4" t="s">
        <v>46</v>
      </c>
      <c r="AR6" s="4" t="s">
        <v>47</v>
      </c>
      <c r="AS6" s="4" t="s">
        <v>48</v>
      </c>
      <c r="AT6" s="4" t="s">
        <v>49</v>
      </c>
      <c r="AU6" s="4" t="s">
        <v>50</v>
      </c>
      <c r="AV6" s="4" t="s">
        <v>51</v>
      </c>
      <c r="AW6" s="4" t="s">
        <v>52</v>
      </c>
      <c r="AX6" s="4" t="s">
        <v>53</v>
      </c>
      <c r="AY6" s="4" t="s">
        <v>54</v>
      </c>
      <c r="AZ6" s="4" t="s">
        <v>55</v>
      </c>
      <c r="BA6" s="4" t="s">
        <v>56</v>
      </c>
      <c r="BB6" s="4" t="s">
        <v>57</v>
      </c>
      <c r="BC6" s="4" t="s">
        <v>58</v>
      </c>
      <c r="BD6" s="4" t="s">
        <v>59</v>
      </c>
      <c r="BE6" s="4" t="s">
        <v>60</v>
      </c>
      <c r="BF6" s="4" t="s">
        <v>61</v>
      </c>
      <c r="BG6" s="4" t="s">
        <v>62</v>
      </c>
      <c r="BH6" s="4" t="s">
        <v>63</v>
      </c>
      <c r="BI6" s="4" t="s">
        <v>64</v>
      </c>
      <c r="BJ6" s="4" t="s">
        <v>65</v>
      </c>
      <c r="BK6" s="4" t="s">
        <v>66</v>
      </c>
      <c r="BL6" s="4" t="s">
        <v>67</v>
      </c>
      <c r="BM6" s="4" t="s">
        <v>68</v>
      </c>
      <c r="BN6" s="4" t="s">
        <v>69</v>
      </c>
      <c r="BO6" s="8" t="s">
        <v>3</v>
      </c>
    </row>
    <row r="7" spans="1:67" ht="105.75" customHeight="1" x14ac:dyDescent="0.25">
      <c r="A7" s="1" t="s">
        <v>70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2">
        <f t="shared" ref="BO7:BO38" si="0">SUM(B7:BN7)</f>
        <v>0</v>
      </c>
    </row>
    <row r="8" spans="1:67" ht="105.75" customHeight="1" x14ac:dyDescent="0.25">
      <c r="A8" s="1" t="s">
        <v>71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1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f t="shared" si="0"/>
        <v>1</v>
      </c>
    </row>
    <row r="9" spans="1:67" ht="105.75" customHeight="1" x14ac:dyDescent="0.25">
      <c r="A9" s="1" t="s">
        <v>72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2">
        <f t="shared" si="0"/>
        <v>0</v>
      </c>
    </row>
    <row r="10" spans="1:67" ht="105.75" customHeight="1" x14ac:dyDescent="0.25">
      <c r="A10" s="1" t="s">
        <v>73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2">
        <f t="shared" si="0"/>
        <v>0</v>
      </c>
    </row>
    <row r="11" spans="1:67" ht="105.75" customHeight="1" x14ac:dyDescent="0.25">
      <c r="A11" s="1" t="s">
        <v>74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2">
        <f t="shared" si="0"/>
        <v>0</v>
      </c>
    </row>
    <row r="12" spans="1:67" ht="105.75" customHeight="1" x14ac:dyDescent="0.25">
      <c r="A12" s="1" t="s">
        <v>75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2">
        <f t="shared" si="0"/>
        <v>0</v>
      </c>
    </row>
    <row r="13" spans="1:67" ht="105.75" customHeight="1" x14ac:dyDescent="0.25">
      <c r="A13" s="1" t="s">
        <v>76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2">
        <f t="shared" si="0"/>
        <v>0</v>
      </c>
    </row>
    <row r="14" spans="1:67" ht="105.75" customHeight="1" x14ac:dyDescent="0.25">
      <c r="A14" s="1" t="s">
        <v>77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2">
        <f t="shared" si="0"/>
        <v>0</v>
      </c>
    </row>
    <row r="15" spans="1:67" ht="105.75" customHeight="1" x14ac:dyDescent="0.25">
      <c r="A15" s="1" t="s">
        <v>78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2">
        <f t="shared" si="0"/>
        <v>0</v>
      </c>
    </row>
    <row r="16" spans="1:67" ht="105.75" customHeight="1" x14ac:dyDescent="0.25">
      <c r="A16" s="1" t="s">
        <v>79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2">
        <f t="shared" si="0"/>
        <v>0</v>
      </c>
    </row>
    <row r="17" spans="1:67" ht="105.75" customHeight="1" x14ac:dyDescent="0.25">
      <c r="A17" s="1" t="s">
        <v>80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2">
        <f t="shared" si="0"/>
        <v>0</v>
      </c>
    </row>
    <row r="18" spans="1:67" ht="105.75" customHeight="1" x14ac:dyDescent="0.25">
      <c r="A18" s="1" t="s">
        <v>81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2">
        <f t="shared" si="0"/>
        <v>0</v>
      </c>
    </row>
    <row r="19" spans="1:67" ht="105.75" customHeight="1" x14ac:dyDescent="0.25">
      <c r="A19" s="1" t="s">
        <v>82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2">
        <f t="shared" si="0"/>
        <v>0</v>
      </c>
    </row>
    <row r="20" spans="1:67" ht="105.75" customHeight="1" x14ac:dyDescent="0.25">
      <c r="A20" s="1" t="s">
        <v>114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2">
        <f t="shared" si="0"/>
        <v>0</v>
      </c>
    </row>
    <row r="21" spans="1:67" ht="105.75" customHeight="1" x14ac:dyDescent="0.25">
      <c r="A21" s="1" t="s">
        <v>83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2">
        <f t="shared" si="0"/>
        <v>0</v>
      </c>
    </row>
    <row r="22" spans="1:67" ht="105.75" customHeight="1" x14ac:dyDescent="0.25">
      <c r="A22" s="1" t="s">
        <v>84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1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f t="shared" si="0"/>
        <v>1</v>
      </c>
    </row>
    <row r="23" spans="1:67" ht="105.75" customHeight="1" x14ac:dyDescent="0.25">
      <c r="A23" s="1" t="s">
        <v>85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2">
        <f t="shared" si="0"/>
        <v>0</v>
      </c>
    </row>
    <row r="24" spans="1:67" ht="105.75" customHeight="1" x14ac:dyDescent="0.25">
      <c r="A24" s="1" t="s">
        <v>86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2">
        <f t="shared" si="0"/>
        <v>0</v>
      </c>
    </row>
    <row r="25" spans="1:67" ht="105.75" customHeight="1" x14ac:dyDescent="0.25">
      <c r="A25" s="1" t="s">
        <v>87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2">
        <f t="shared" si="0"/>
        <v>0</v>
      </c>
    </row>
    <row r="26" spans="1:67" ht="105.75" customHeight="1" x14ac:dyDescent="0.25">
      <c r="A26" s="1" t="s">
        <v>88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2">
        <f t="shared" si="0"/>
        <v>0</v>
      </c>
    </row>
    <row r="27" spans="1:67" ht="105.75" customHeight="1" x14ac:dyDescent="0.25">
      <c r="A27" s="1" t="s">
        <v>115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2">
        <f t="shared" si="0"/>
        <v>0</v>
      </c>
    </row>
    <row r="28" spans="1:67" ht="105.75" customHeight="1" x14ac:dyDescent="0.25">
      <c r="A28" s="1" t="s">
        <v>89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2">
        <f t="shared" si="0"/>
        <v>0</v>
      </c>
    </row>
    <row r="29" spans="1:67" ht="105.75" customHeight="1" x14ac:dyDescent="0.25">
      <c r="A29" s="1" t="s">
        <v>90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2">
        <f t="shared" si="0"/>
        <v>0</v>
      </c>
    </row>
    <row r="30" spans="1:67" ht="105.75" customHeight="1" x14ac:dyDescent="0.25">
      <c r="A30" s="1" t="s">
        <v>91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2">
        <f t="shared" si="0"/>
        <v>0</v>
      </c>
    </row>
    <row r="31" spans="1:67" ht="105.75" customHeight="1" x14ac:dyDescent="0.25">
      <c r="A31" s="1" t="s">
        <v>92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2">
        <f t="shared" si="0"/>
        <v>0</v>
      </c>
    </row>
    <row r="32" spans="1:67" ht="105.75" customHeight="1" x14ac:dyDescent="0.25">
      <c r="A32" s="1" t="s">
        <v>93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2">
        <f t="shared" si="0"/>
        <v>0</v>
      </c>
    </row>
    <row r="33" spans="1:67" ht="105.75" customHeight="1" x14ac:dyDescent="0.25">
      <c r="A33" s="1" t="s">
        <v>94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2">
        <f t="shared" si="0"/>
        <v>0</v>
      </c>
    </row>
    <row r="34" spans="1:67" ht="105.75" customHeight="1" x14ac:dyDescent="0.25">
      <c r="A34" s="1" t="s">
        <v>95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2">
        <f t="shared" si="0"/>
        <v>0</v>
      </c>
    </row>
    <row r="35" spans="1:67" ht="105.75" customHeight="1" x14ac:dyDescent="0.25">
      <c r="A35" s="1" t="s">
        <v>96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2">
        <f t="shared" si="0"/>
        <v>0</v>
      </c>
    </row>
    <row r="36" spans="1:67" ht="105.75" customHeight="1" x14ac:dyDescent="0.25">
      <c r="A36" s="1" t="s">
        <v>97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2">
        <f t="shared" si="0"/>
        <v>0</v>
      </c>
    </row>
    <row r="37" spans="1:67" ht="105.75" customHeight="1" x14ac:dyDescent="0.25">
      <c r="A37" s="1" t="s">
        <v>98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2">
        <f t="shared" si="0"/>
        <v>0</v>
      </c>
    </row>
    <row r="38" spans="1:67" ht="105.75" customHeight="1" x14ac:dyDescent="0.25">
      <c r="A38" s="1" t="s">
        <v>99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2">
        <f t="shared" si="0"/>
        <v>0</v>
      </c>
    </row>
    <row r="39" spans="1:67" ht="105.75" customHeight="1" x14ac:dyDescent="0.25">
      <c r="A39" s="1" t="s">
        <v>100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2">
        <f t="shared" ref="BO39:BO70" si="1">SUM(B39:BN39)</f>
        <v>0</v>
      </c>
    </row>
    <row r="40" spans="1:67" ht="105.75" customHeight="1" x14ac:dyDescent="0.25">
      <c r="A40" s="1" t="s">
        <v>101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2">
        <f t="shared" si="1"/>
        <v>0</v>
      </c>
    </row>
    <row r="41" spans="1:67" ht="105.75" customHeight="1" x14ac:dyDescent="0.25">
      <c r="A41" s="1" t="s">
        <v>102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2">
        <f t="shared" si="1"/>
        <v>0</v>
      </c>
    </row>
    <row r="42" spans="1:67" ht="105.75" customHeight="1" x14ac:dyDescent="0.25">
      <c r="A42" s="1" t="s">
        <v>103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1</v>
      </c>
      <c r="BK42" s="2">
        <v>0</v>
      </c>
      <c r="BL42" s="2">
        <v>0</v>
      </c>
      <c r="BM42" s="2">
        <v>0</v>
      </c>
      <c r="BN42" s="2">
        <v>0</v>
      </c>
      <c r="BO42" s="2">
        <f t="shared" si="1"/>
        <v>1</v>
      </c>
    </row>
    <row r="43" spans="1:67" ht="105.75" customHeight="1" x14ac:dyDescent="0.25">
      <c r="A43" s="1" t="s">
        <v>104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2">
        <f t="shared" si="1"/>
        <v>0</v>
      </c>
    </row>
    <row r="44" spans="1:67" ht="105.75" customHeight="1" x14ac:dyDescent="0.25">
      <c r="A44" s="1" t="s">
        <v>105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2">
        <f t="shared" si="1"/>
        <v>0</v>
      </c>
    </row>
    <row r="45" spans="1:67" ht="105.75" customHeight="1" x14ac:dyDescent="0.25">
      <c r="A45" s="1" t="s">
        <v>106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2">
        <f t="shared" si="1"/>
        <v>0</v>
      </c>
    </row>
    <row r="46" spans="1:67" ht="105.75" customHeight="1" x14ac:dyDescent="0.25">
      <c r="A46" s="1" t="s">
        <v>119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2">
        <f t="shared" si="1"/>
        <v>0</v>
      </c>
    </row>
    <row r="47" spans="1:67" ht="105.75" customHeight="1" x14ac:dyDescent="0.25">
      <c r="A47" s="1" t="s">
        <v>107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2">
        <f t="shared" si="1"/>
        <v>0</v>
      </c>
    </row>
    <row r="48" spans="1:67" ht="105.75" customHeight="1" x14ac:dyDescent="0.25">
      <c r="A48" s="1" t="s">
        <v>108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2">
        <f t="shared" si="1"/>
        <v>0</v>
      </c>
    </row>
    <row r="49" spans="1:67" ht="105.75" customHeight="1" x14ac:dyDescent="0.25">
      <c r="A49" s="1" t="s">
        <v>117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2">
        <f t="shared" si="1"/>
        <v>0</v>
      </c>
    </row>
    <row r="50" spans="1:67" ht="105.75" customHeight="1" x14ac:dyDescent="0.25">
      <c r="A50" s="1" t="s">
        <v>109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2">
        <f t="shared" si="1"/>
        <v>0</v>
      </c>
    </row>
    <row r="51" spans="1:67" ht="105.75" customHeight="1" x14ac:dyDescent="0.25">
      <c r="A51" s="1" t="s">
        <v>110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2">
        <f t="shared" si="1"/>
        <v>0</v>
      </c>
    </row>
    <row r="52" spans="1:67" ht="105.75" customHeight="1" x14ac:dyDescent="0.25">
      <c r="A52" s="1" t="s">
        <v>118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2">
        <f t="shared" si="1"/>
        <v>0</v>
      </c>
    </row>
    <row r="53" spans="1:67" ht="105.75" customHeight="1" x14ac:dyDescent="0.25">
      <c r="A53" s="1" t="s">
        <v>111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2">
        <f t="shared" si="1"/>
        <v>0</v>
      </c>
    </row>
    <row r="54" spans="1:67" ht="105.75" customHeight="1" x14ac:dyDescent="0.25">
      <c r="A54" s="1" t="s">
        <v>112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2">
        <f t="shared" si="1"/>
        <v>0</v>
      </c>
    </row>
    <row r="55" spans="1:67" ht="105.75" customHeight="1" x14ac:dyDescent="0.25">
      <c r="A55" s="1" t="s">
        <v>113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2">
        <f t="shared" si="1"/>
        <v>0</v>
      </c>
    </row>
    <row r="56" spans="1:67" ht="37.5" customHeight="1" x14ac:dyDescent="0.25">
      <c r="A56" s="9" t="s">
        <v>3</v>
      </c>
      <c r="B56" s="10">
        <f>SUBTOTAL(109,Tabla6[ene-12])</f>
        <v>0</v>
      </c>
      <c r="C56" s="10">
        <f>SUBTOTAL(109,Tabla6[feb-12])</f>
        <v>0</v>
      </c>
      <c r="D56" s="10">
        <f>SUBTOTAL(109,Tabla6[mar-12])</f>
        <v>0</v>
      </c>
      <c r="E56" s="10">
        <f>SUBTOTAL(109,Tabla6[abr-12])</f>
        <v>0</v>
      </c>
      <c r="F56" s="10">
        <f>SUBTOTAL(109,Tabla6[may-12])</f>
        <v>0</v>
      </c>
      <c r="G56" s="10">
        <f>SUBTOTAL(109,Tabla6[jun-12])</f>
        <v>0</v>
      </c>
      <c r="H56" s="10">
        <f>SUBTOTAL(109,Tabla6[jul-12])</f>
        <v>0</v>
      </c>
      <c r="I56" s="10">
        <f>SUBTOTAL(109,Tabla6[ago-12])</f>
        <v>0</v>
      </c>
      <c r="J56" s="10">
        <f>SUBTOTAL(109,Tabla6[sep-12])</f>
        <v>0</v>
      </c>
      <c r="K56" s="10">
        <f>SUBTOTAL(109,Tabla6[oct-12])</f>
        <v>0</v>
      </c>
      <c r="L56" s="10">
        <f>SUBTOTAL(109,Tabla6[nov-12])</f>
        <v>0</v>
      </c>
      <c r="M56" s="10">
        <f>SUBTOTAL(109,Tabla6[dic-12])</f>
        <v>0</v>
      </c>
      <c r="N56" s="10">
        <f>SUBTOTAL(109,Tabla6[ene-13])</f>
        <v>0</v>
      </c>
      <c r="O56" s="10">
        <f>SUBTOTAL(109,Tabla6[feb-13])</f>
        <v>0</v>
      </c>
      <c r="P56" s="10">
        <f>SUBTOTAL(109,Tabla6[mar-13])</f>
        <v>0</v>
      </c>
      <c r="Q56" s="10">
        <f>SUBTOTAL(109,Tabla6[abr-13])</f>
        <v>0</v>
      </c>
      <c r="R56" s="10">
        <f>SUBTOTAL(109,Tabla6[may-13])</f>
        <v>0</v>
      </c>
      <c r="S56" s="10">
        <f>SUBTOTAL(109,Tabla6[jun-13])</f>
        <v>0</v>
      </c>
      <c r="T56" s="10">
        <f>SUBTOTAL(109,Tabla6[jul-13])</f>
        <v>0</v>
      </c>
      <c r="U56" s="10">
        <f>SUBTOTAL(109,Tabla6[ago-13])</f>
        <v>0</v>
      </c>
      <c r="V56" s="10">
        <f>SUBTOTAL(109,Tabla6[sep-13])</f>
        <v>0</v>
      </c>
      <c r="W56" s="10">
        <f>SUBTOTAL(109,Tabla6[oct-13])</f>
        <v>0</v>
      </c>
      <c r="X56" s="10">
        <f>SUBTOTAL(109,Tabla6[nov-13])</f>
        <v>0</v>
      </c>
      <c r="Y56" s="10">
        <f>SUBTOTAL(109,Tabla6[dic-13])</f>
        <v>0</v>
      </c>
      <c r="Z56" s="10">
        <f>SUBTOTAL(109,Tabla6[ene-14])</f>
        <v>0</v>
      </c>
      <c r="AA56" s="10">
        <f>SUBTOTAL(109,Tabla6[feb-14])</f>
        <v>0</v>
      </c>
      <c r="AB56" s="10">
        <f>SUBTOTAL(109,Tabla6[mar-14])</f>
        <v>0</v>
      </c>
      <c r="AC56" s="10">
        <f>SUBTOTAL(109,Tabla6[abr-14])</f>
        <v>0</v>
      </c>
      <c r="AD56" s="10">
        <f>SUBTOTAL(109,Tabla6[may-14])</f>
        <v>0</v>
      </c>
      <c r="AE56" s="10">
        <f>SUBTOTAL(109,Tabla6[jun-14])</f>
        <v>0</v>
      </c>
      <c r="AF56" s="10">
        <f>SUBTOTAL(109,Tabla6[jul-14])</f>
        <v>0</v>
      </c>
      <c r="AG56" s="10">
        <f>SUBTOTAL(109,Tabla6[ago-14])</f>
        <v>0</v>
      </c>
      <c r="AH56" s="10">
        <f>SUBTOTAL(109,Tabla6[sep-14])</f>
        <v>0</v>
      </c>
      <c r="AI56" s="10">
        <f>SUBTOTAL(109,Tabla6[oct-14])</f>
        <v>0</v>
      </c>
      <c r="AJ56" s="10">
        <f>SUBTOTAL(109,Tabla6[nov-14])</f>
        <v>0</v>
      </c>
      <c r="AK56" s="10">
        <f>SUBTOTAL(109,Tabla6[dic-14])</f>
        <v>0</v>
      </c>
      <c r="AL56" s="10">
        <f>SUBTOTAL(109,Tabla6[ene-15])</f>
        <v>0</v>
      </c>
      <c r="AM56" s="10">
        <f>SUBTOTAL(109,Tabla6[feb-15])</f>
        <v>0</v>
      </c>
      <c r="AN56" s="10">
        <f>SUBTOTAL(109,Tabla6[mar-15])</f>
        <v>0</v>
      </c>
      <c r="AO56" s="10">
        <f>SUBTOTAL(109,Tabla6[abr-15])</f>
        <v>0</v>
      </c>
      <c r="AP56" s="10">
        <f>SUBTOTAL(109,Tabla6[may-15])</f>
        <v>0</v>
      </c>
      <c r="AQ56" s="10">
        <f>SUBTOTAL(109,Tabla6[jun-15])</f>
        <v>0</v>
      </c>
      <c r="AR56" s="10">
        <f>SUBTOTAL(109,Tabla6[jul-15])</f>
        <v>0</v>
      </c>
      <c r="AS56" s="10">
        <f>SUBTOTAL(109,Tabla6[ago-15])</f>
        <v>0</v>
      </c>
      <c r="AT56" s="10">
        <f>SUBTOTAL(109,Tabla6[sep-15])</f>
        <v>0</v>
      </c>
      <c r="AU56" s="10">
        <f>SUBTOTAL(109,Tabla6[oct-15])</f>
        <v>0</v>
      </c>
      <c r="AV56" s="10">
        <f>SUBTOTAL(109,Tabla6[nov-15])</f>
        <v>0</v>
      </c>
      <c r="AW56" s="10">
        <f>SUBTOTAL(109,Tabla6[dic-15])</f>
        <v>0</v>
      </c>
      <c r="AX56" s="10">
        <f>SUBTOTAL(109,Tabla6[ene-16])</f>
        <v>0</v>
      </c>
      <c r="AY56" s="10">
        <f>SUBTOTAL(109,Tabla6[feb-16])</f>
        <v>0</v>
      </c>
      <c r="AZ56" s="10">
        <f>SUBTOTAL(109,Tabla6[mar-16])</f>
        <v>0</v>
      </c>
      <c r="BA56" s="10">
        <f>SUBTOTAL(109,Tabla6[abr-16])</f>
        <v>0</v>
      </c>
      <c r="BB56" s="10">
        <f>SUBTOTAL(109,Tabla6[may-16])</f>
        <v>0</v>
      </c>
      <c r="BC56" s="10">
        <f>SUBTOTAL(109,Tabla6[jun-16])</f>
        <v>0</v>
      </c>
      <c r="BD56" s="10">
        <f>SUBTOTAL(109,Tabla6[jul-16])</f>
        <v>0</v>
      </c>
      <c r="BE56" s="10">
        <f>SUBTOTAL(109,Tabla6[ago-16])</f>
        <v>0</v>
      </c>
      <c r="BF56" s="10">
        <f>SUBTOTAL(109,Tabla6[sep-16])</f>
        <v>0</v>
      </c>
      <c r="BG56" s="10">
        <f>SUBTOTAL(109,Tabla6[oct-16])</f>
        <v>0</v>
      </c>
      <c r="BH56" s="10">
        <f>SUBTOTAL(109,Tabla6[nov-16])</f>
        <v>0</v>
      </c>
      <c r="BI56" s="10">
        <f>SUBTOTAL(109,Tabla6[dic-16])</f>
        <v>2</v>
      </c>
      <c r="BJ56" s="10">
        <f>SUBTOTAL(109,Tabla6[ene-17])</f>
        <v>1</v>
      </c>
      <c r="BK56" s="10">
        <f>SUBTOTAL(109,Tabla6[feb-17])</f>
        <v>0</v>
      </c>
      <c r="BL56" s="10">
        <f>SUBTOTAL(109,Tabla6[mar-17])</f>
        <v>0</v>
      </c>
      <c r="BM56" s="10">
        <f>SUBTOTAL(109,Tabla6[abr-17])</f>
        <v>0</v>
      </c>
      <c r="BN56" s="10">
        <f>SUBTOTAL(109,Tabla6[may-17])</f>
        <v>0</v>
      </c>
      <c r="BO56" s="10">
        <f>SUBTOTAL(109,Tabla6[Total])</f>
        <v>3</v>
      </c>
    </row>
  </sheetData>
  <pageMargins left="0.70866141732283472" right="0.70866141732283472" top="1.3385826771653544" bottom="0.74803149606299213" header="0.31496062992125984" footer="0.31496062992125984"/>
  <pageSetup scale="60" orientation="landscape" r:id="rId1"/>
  <headerFooter>
    <oddHeader>&amp;C&amp;G
"2017. Año del Centenario de las Constituciones Mexicana y Mexiquense".</oddHeader>
    <oddFooter>&amp;LAv. Independencia Ote. 616. Colonia Santa Clara, Toluca, México
Tel. (722) 226 0494 ext. 15442&amp;RDIRECCIÓN GENERAL DE FINANZAS Y PLANEACIÓN
DIRECCIÓN DE INFORMACIÓN Y ESTADÍSTICA
Pág &amp;P de &amp;N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10</vt:i4>
      </vt:variant>
    </vt:vector>
  </HeadingPairs>
  <TitlesOfParts>
    <vt:vector size="15" baseType="lpstr">
      <vt:lpstr>AudCtrl_Detención</vt:lpstr>
      <vt:lpstr>Aud_FrmlImpCmp</vt:lpstr>
      <vt:lpstr>Aud_FrmlImpOrdAmp</vt:lpstr>
      <vt:lpstr>Aud_VncPrcss</vt:lpstr>
      <vt:lpstr>Aud_ExcImpMddCautelar</vt:lpstr>
      <vt:lpstr>Aud_ExcImpMddCautelar!Área_de_impresión</vt:lpstr>
      <vt:lpstr>Aud_FrmlImpCmp!Área_de_impresión</vt:lpstr>
      <vt:lpstr>Aud_FrmlImpOrdAmp!Área_de_impresión</vt:lpstr>
      <vt:lpstr>Aud_VncPrcss!Área_de_impresión</vt:lpstr>
      <vt:lpstr>AudCtrl_Detención!Área_de_impresión</vt:lpstr>
      <vt:lpstr>Aud_ExcImpMddCautelar!Títulos_a_imprimir</vt:lpstr>
      <vt:lpstr>Aud_FrmlImpCmp!Títulos_a_imprimir</vt:lpstr>
      <vt:lpstr>Aud_FrmlImpOrdAmp!Títulos_a_imprimir</vt:lpstr>
      <vt:lpstr>Aud_VncPrcss!Títulos_a_imprimir</vt:lpstr>
      <vt:lpstr>AudCtrl_Detención!Títulos_a_imprimir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PJEM - DI&amp;E</dc:creator>
  <cp:lastModifiedBy>PJEM - DI&amp;E</cp:lastModifiedBy>
  <cp:lastPrinted>2017-06-26T20:43:20Z</cp:lastPrinted>
  <dcterms:created xsi:type="dcterms:W3CDTF">2016-10-19T14:25:31Z</dcterms:created>
  <dcterms:modified xsi:type="dcterms:W3CDTF">2017-06-27T15:43:10Z</dcterms:modified>
</cp:coreProperties>
</file>