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420" windowHeight="4110"/>
  </bookViews>
  <sheets>
    <sheet name="Hoja1" sheetId="1" r:id="rId1"/>
    <sheet name="base" sheetId="4" r:id="rId2"/>
    <sheet name="Hoja2" sheetId="2" r:id="rId3"/>
    <sheet name="Hoja3" sheetId="3" r:id="rId4"/>
  </sheets>
  <definedNames>
    <definedName name="_xlnm._FilterDatabase" localSheetId="1" hidden="1">base!$A$1:$K$1</definedName>
    <definedName name="_xlnm._FilterDatabase" localSheetId="0" hidden="1">Hoja1!$A$10:$L$177</definedName>
    <definedName name="_xlnm.Print_Area" localSheetId="0">Hoja1!$A$1:$K$185</definedName>
    <definedName name="_xlnm.Print_Titles" localSheetId="0">Hoja1!$1:$10</definedName>
  </definedNames>
  <calcPr calcId="125725"/>
</workbook>
</file>

<file path=xl/calcChain.xml><?xml version="1.0" encoding="utf-8"?>
<calcChain xmlns="http://schemas.openxmlformats.org/spreadsheetml/2006/main">
  <c r="I172" i="1"/>
  <c r="H172"/>
  <c r="G172"/>
  <c r="E172"/>
  <c r="D172"/>
  <c r="I171"/>
  <c r="H171"/>
  <c r="G171"/>
  <c r="E171"/>
  <c r="D171"/>
  <c r="I165"/>
  <c r="H165"/>
  <c r="G165"/>
  <c r="E165"/>
  <c r="D165"/>
  <c r="I161"/>
  <c r="H161"/>
  <c r="G161"/>
  <c r="E161"/>
  <c r="D161"/>
  <c r="I155"/>
  <c r="H155"/>
  <c r="G155"/>
  <c r="E155"/>
  <c r="D155"/>
  <c r="I150"/>
  <c r="H150"/>
  <c r="G150"/>
  <c r="E150"/>
  <c r="D150"/>
  <c r="I137"/>
  <c r="H137"/>
  <c r="G137"/>
  <c r="E137"/>
  <c r="D137"/>
  <c r="I130"/>
  <c r="H130"/>
  <c r="G130"/>
  <c r="E130"/>
  <c r="D130"/>
  <c r="I121"/>
  <c r="H121"/>
  <c r="G121"/>
  <c r="E121"/>
  <c r="D121"/>
  <c r="I113"/>
  <c r="H113"/>
  <c r="G113"/>
  <c r="E113"/>
  <c r="D113"/>
  <c r="I100"/>
  <c r="H100"/>
  <c r="G100"/>
  <c r="E100"/>
  <c r="D100"/>
  <c r="I99"/>
  <c r="H99"/>
  <c r="G99"/>
  <c r="E99"/>
  <c r="D99"/>
  <c r="I90"/>
  <c r="H90"/>
  <c r="G90"/>
  <c r="E90"/>
  <c r="D90"/>
  <c r="I86"/>
  <c r="H86"/>
  <c r="G86"/>
  <c r="E86"/>
  <c r="D86"/>
  <c r="I83"/>
  <c r="H83"/>
  <c r="G83"/>
  <c r="E83"/>
  <c r="D83"/>
  <c r="I78"/>
  <c r="H78"/>
  <c r="G78"/>
  <c r="E78"/>
  <c r="D78"/>
  <c r="I69"/>
  <c r="H69"/>
  <c r="G69"/>
  <c r="E69"/>
  <c r="D69"/>
  <c r="I66"/>
  <c r="H66"/>
  <c r="G66"/>
  <c r="E66"/>
  <c r="D66"/>
  <c r="I56"/>
  <c r="H56"/>
  <c r="G56"/>
  <c r="E56"/>
  <c r="D56"/>
  <c r="I55"/>
  <c r="H55"/>
  <c r="G55"/>
  <c r="E55"/>
  <c r="D55"/>
  <c r="I52"/>
  <c r="H52"/>
  <c r="G52"/>
  <c r="E52"/>
  <c r="D52"/>
  <c r="I49"/>
  <c r="H49"/>
  <c r="G49"/>
  <c r="E49"/>
  <c r="D49"/>
  <c r="I36"/>
  <c r="H36"/>
  <c r="G36"/>
  <c r="E36"/>
  <c r="D36"/>
  <c r="I27"/>
  <c r="H27"/>
  <c r="G27"/>
  <c r="E27"/>
  <c r="D27"/>
  <c r="I15"/>
  <c r="H15"/>
  <c r="G15"/>
  <c r="E15"/>
  <c r="D15"/>
  <c r="I12"/>
  <c r="H12"/>
  <c r="G12"/>
  <c r="E12"/>
  <c r="D12"/>
  <c r="I11"/>
  <c r="H11"/>
  <c r="G11"/>
  <c r="E11"/>
  <c r="D11"/>
  <c r="F13"/>
  <c r="F12" s="1"/>
  <c r="D14"/>
  <c r="E14"/>
  <c r="F14"/>
  <c r="F16"/>
  <c r="F15" s="1"/>
  <c r="D17"/>
  <c r="F17"/>
  <c r="F18"/>
  <c r="D19"/>
  <c r="F19"/>
  <c r="D20"/>
  <c r="F20"/>
  <c r="F21"/>
  <c r="D22"/>
  <c r="F22"/>
  <c r="E23"/>
  <c r="F23"/>
  <c r="F24"/>
  <c r="F25"/>
  <c r="D26"/>
  <c r="F26"/>
  <c r="F28"/>
  <c r="F27" s="1"/>
  <c r="D29"/>
  <c r="F29"/>
  <c r="D30"/>
  <c r="F30"/>
  <c r="D31"/>
  <c r="F31"/>
  <c r="D32"/>
  <c r="F32"/>
  <c r="D33"/>
  <c r="F33"/>
  <c r="F34"/>
  <c r="F35"/>
  <c r="F37"/>
  <c r="F36" s="1"/>
  <c r="E38"/>
  <c r="E44"/>
  <c r="E48"/>
  <c r="E51"/>
  <c r="F65"/>
  <c r="F67"/>
  <c r="F66" s="1"/>
  <c r="F68"/>
  <c r="F70"/>
  <c r="F69" s="1"/>
  <c r="F71"/>
  <c r="F72"/>
  <c r="F73"/>
  <c r="F74"/>
  <c r="F75"/>
  <c r="F76"/>
  <c r="F77"/>
  <c r="F79"/>
  <c r="F78" s="1"/>
  <c r="F80"/>
  <c r="F81"/>
  <c r="F82"/>
  <c r="F84"/>
  <c r="F83" s="1"/>
  <c r="F85"/>
  <c r="F87"/>
  <c r="F86" s="1"/>
  <c r="F88"/>
  <c r="F89"/>
  <c r="F91"/>
  <c r="F90" s="1"/>
  <c r="J164"/>
  <c r="F164"/>
  <c r="K164" s="1"/>
  <c r="C161"/>
  <c r="D38"/>
  <c r="D45"/>
  <c r="D39"/>
  <c r="D148"/>
  <c r="E170"/>
  <c r="E167"/>
  <c r="E160"/>
  <c r="E152"/>
  <c r="E136"/>
  <c r="E115"/>
  <c r="D94"/>
  <c r="D92"/>
  <c r="D72"/>
  <c r="D62"/>
  <c r="E85"/>
  <c r="D139"/>
  <c r="D116"/>
  <c r="D108"/>
  <c r="E146"/>
  <c r="E129"/>
  <c r="E118"/>
  <c r="J116"/>
  <c r="D176"/>
  <c r="F149"/>
  <c r="D134"/>
  <c r="D127"/>
  <c r="F116"/>
  <c r="K116" s="1"/>
  <c r="D112"/>
  <c r="E148"/>
  <c r="D71"/>
  <c r="J13"/>
  <c r="J14"/>
  <c r="J16"/>
  <c r="J15" s="1"/>
  <c r="J17"/>
  <c r="J18"/>
  <c r="J19"/>
  <c r="J20"/>
  <c r="J21"/>
  <c r="J22"/>
  <c r="J23"/>
  <c r="J24"/>
  <c r="J25"/>
  <c r="J26"/>
  <c r="J28"/>
  <c r="J27" s="1"/>
  <c r="J29"/>
  <c r="J30"/>
  <c r="J31"/>
  <c r="J32"/>
  <c r="J33"/>
  <c r="J34"/>
  <c r="J35"/>
  <c r="J37"/>
  <c r="J36" s="1"/>
  <c r="J38"/>
  <c r="J39"/>
  <c r="J40"/>
  <c r="J41"/>
  <c r="J42"/>
  <c r="J43"/>
  <c r="J44"/>
  <c r="J45"/>
  <c r="J46"/>
  <c r="J47"/>
  <c r="J48"/>
  <c r="J50"/>
  <c r="J49" s="1"/>
  <c r="J51"/>
  <c r="J53"/>
  <c r="J54"/>
  <c r="J57"/>
  <c r="J58"/>
  <c r="J59"/>
  <c r="J60"/>
  <c r="J61"/>
  <c r="J62"/>
  <c r="J63"/>
  <c r="J64"/>
  <c r="J65"/>
  <c r="J67"/>
  <c r="J68"/>
  <c r="J70"/>
  <c r="J71"/>
  <c r="J72"/>
  <c r="J73"/>
  <c r="J74"/>
  <c r="J75"/>
  <c r="J76"/>
  <c r="J77"/>
  <c r="J79"/>
  <c r="J80"/>
  <c r="J81"/>
  <c r="J82"/>
  <c r="J84"/>
  <c r="J85"/>
  <c r="J87"/>
  <c r="J88"/>
  <c r="J89"/>
  <c r="J91"/>
  <c r="J92"/>
  <c r="J93"/>
  <c r="J94"/>
  <c r="J95"/>
  <c r="J96"/>
  <c r="J97"/>
  <c r="J98"/>
  <c r="J101"/>
  <c r="J102"/>
  <c r="J103"/>
  <c r="J104"/>
  <c r="J105"/>
  <c r="J106"/>
  <c r="J107"/>
  <c r="J108"/>
  <c r="J109"/>
  <c r="J110"/>
  <c r="J111"/>
  <c r="J112"/>
  <c r="J114"/>
  <c r="J115"/>
  <c r="J117"/>
  <c r="J118"/>
  <c r="J119"/>
  <c r="J120"/>
  <c r="J122"/>
  <c r="J123"/>
  <c r="J124"/>
  <c r="J125"/>
  <c r="J126"/>
  <c r="J127"/>
  <c r="J128"/>
  <c r="J129"/>
  <c r="J131"/>
  <c r="J132"/>
  <c r="J133"/>
  <c r="J134"/>
  <c r="J135"/>
  <c r="J136"/>
  <c r="J138"/>
  <c r="J139"/>
  <c r="J140"/>
  <c r="J141"/>
  <c r="J142"/>
  <c r="J143"/>
  <c r="J144"/>
  <c r="J145"/>
  <c r="J146"/>
  <c r="J147"/>
  <c r="J148"/>
  <c r="J149"/>
  <c r="K149" s="1"/>
  <c r="J151"/>
  <c r="J152"/>
  <c r="J153"/>
  <c r="J154"/>
  <c r="J156"/>
  <c r="J157"/>
  <c r="J158"/>
  <c r="J159"/>
  <c r="J160"/>
  <c r="J162"/>
  <c r="J163"/>
  <c r="J166"/>
  <c r="J167"/>
  <c r="J168"/>
  <c r="J169"/>
  <c r="J170"/>
  <c r="J173"/>
  <c r="J172" s="1"/>
  <c r="J171" s="1"/>
  <c r="J174"/>
  <c r="J175"/>
  <c r="J176"/>
  <c r="F57" i="4"/>
  <c r="F61"/>
  <c r="D61"/>
  <c r="B61"/>
  <c r="C61"/>
  <c r="F60"/>
  <c r="F59"/>
  <c r="F58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6"/>
  <c r="F25"/>
  <c r="F24"/>
  <c r="F22"/>
  <c r="F21"/>
  <c r="F19"/>
  <c r="F18"/>
  <c r="F16"/>
  <c r="F15"/>
  <c r="F14"/>
  <c r="F13"/>
  <c r="F11"/>
  <c r="F10"/>
  <c r="F9"/>
  <c r="F8"/>
  <c r="F7"/>
  <c r="F2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2"/>
  <c r="G31"/>
  <c r="G29"/>
  <c r="G28"/>
  <c r="G27"/>
  <c r="G26"/>
  <c r="G24"/>
  <c r="G23"/>
  <c r="G22"/>
  <c r="G20"/>
  <c r="G19"/>
  <c r="G18"/>
  <c r="G16"/>
  <c r="G15"/>
  <c r="G14"/>
  <c r="G13"/>
  <c r="G12"/>
  <c r="G11"/>
  <c r="G10"/>
  <c r="G8"/>
  <c r="G7"/>
  <c r="G6"/>
  <c r="G5"/>
  <c r="G4"/>
  <c r="G3"/>
  <c r="A61" i="3"/>
  <c r="B61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2"/>
  <c r="D23" i="4"/>
  <c r="D12"/>
  <c r="D20"/>
  <c r="F20" s="1"/>
  <c r="D6"/>
  <c r="F6" s="1"/>
  <c r="D5"/>
  <c r="F5" s="1"/>
  <c r="D4"/>
  <c r="F4" s="1"/>
  <c r="E2"/>
  <c r="B23"/>
  <c r="F23" s="1"/>
  <c r="B12"/>
  <c r="E17"/>
  <c r="G17" s="1"/>
  <c r="E9"/>
  <c r="G9" s="1"/>
  <c r="D17"/>
  <c r="F17" s="1"/>
  <c r="D3"/>
  <c r="E25"/>
  <c r="G25" s="1"/>
  <c r="E21"/>
  <c r="G21" s="1"/>
  <c r="D27"/>
  <c r="F27" s="1"/>
  <c r="E33"/>
  <c r="G33" s="1"/>
  <c r="E34"/>
  <c r="G34" s="1"/>
  <c r="E30"/>
  <c r="G30" s="1"/>
  <c r="C137" i="1"/>
  <c r="K13"/>
  <c r="K14"/>
  <c r="K16"/>
  <c r="K17"/>
  <c r="K18"/>
  <c r="K19"/>
  <c r="K20"/>
  <c r="K21"/>
  <c r="K22"/>
  <c r="K23"/>
  <c r="K24"/>
  <c r="K25"/>
  <c r="K26"/>
  <c r="K28"/>
  <c r="K29"/>
  <c r="K30"/>
  <c r="K31"/>
  <c r="K32"/>
  <c r="K33"/>
  <c r="K34"/>
  <c r="K35"/>
  <c r="K37"/>
  <c r="K65"/>
  <c r="K67"/>
  <c r="K68"/>
  <c r="K70"/>
  <c r="K71"/>
  <c r="K72"/>
  <c r="K73"/>
  <c r="K74"/>
  <c r="K75"/>
  <c r="K76"/>
  <c r="K77"/>
  <c r="K79"/>
  <c r="K80"/>
  <c r="K81"/>
  <c r="K82"/>
  <c r="K84"/>
  <c r="K85"/>
  <c r="K87"/>
  <c r="K88"/>
  <c r="K89"/>
  <c r="K91"/>
  <c r="C90"/>
  <c r="C86"/>
  <c r="F158"/>
  <c r="K158" s="1"/>
  <c r="F176"/>
  <c r="K176" s="1"/>
  <c r="F175"/>
  <c r="K175" s="1"/>
  <c r="F174"/>
  <c r="K174" s="1"/>
  <c r="F173"/>
  <c r="F172" s="1"/>
  <c r="F171" s="1"/>
  <c r="F170"/>
  <c r="K170" s="1"/>
  <c r="F169"/>
  <c r="K169" s="1"/>
  <c r="F168"/>
  <c r="K168" s="1"/>
  <c r="F167"/>
  <c r="K167" s="1"/>
  <c r="F166"/>
  <c r="F165" s="1"/>
  <c r="F163"/>
  <c r="K163" s="1"/>
  <c r="F162"/>
  <c r="F161" s="1"/>
  <c r="F160"/>
  <c r="K160" s="1"/>
  <c r="F159"/>
  <c r="K159" s="1"/>
  <c r="F157"/>
  <c r="K157" s="1"/>
  <c r="F156"/>
  <c r="F155" s="1"/>
  <c r="F154"/>
  <c r="K154" s="1"/>
  <c r="F153"/>
  <c r="K153" s="1"/>
  <c r="F152"/>
  <c r="K152" s="1"/>
  <c r="F151"/>
  <c r="F150" s="1"/>
  <c r="F148"/>
  <c r="K148" s="1"/>
  <c r="F147"/>
  <c r="K147" s="1"/>
  <c r="F146"/>
  <c r="K146" s="1"/>
  <c r="F145"/>
  <c r="K145" s="1"/>
  <c r="F144"/>
  <c r="K144" s="1"/>
  <c r="F143"/>
  <c r="K143" s="1"/>
  <c r="F142"/>
  <c r="K142" s="1"/>
  <c r="F141"/>
  <c r="K141" s="1"/>
  <c r="F140"/>
  <c r="K140" s="1"/>
  <c r="F139"/>
  <c r="K139" s="1"/>
  <c r="F138"/>
  <c r="F137" s="1"/>
  <c r="F136"/>
  <c r="K136" s="1"/>
  <c r="F135"/>
  <c r="K135" s="1"/>
  <c r="F134"/>
  <c r="K134" s="1"/>
  <c r="F133"/>
  <c r="K133" s="1"/>
  <c r="F132"/>
  <c r="K132" s="1"/>
  <c r="F131"/>
  <c r="F130" s="1"/>
  <c r="F129"/>
  <c r="K129" s="1"/>
  <c r="F128"/>
  <c r="K128" s="1"/>
  <c r="F127"/>
  <c r="K127" s="1"/>
  <c r="F126"/>
  <c r="K126" s="1"/>
  <c r="F125"/>
  <c r="K125" s="1"/>
  <c r="F124"/>
  <c r="K124" s="1"/>
  <c r="F123"/>
  <c r="K123" s="1"/>
  <c r="F122"/>
  <c r="F121" s="1"/>
  <c r="F120"/>
  <c r="K120" s="1"/>
  <c r="F119"/>
  <c r="K119" s="1"/>
  <c r="F118"/>
  <c r="K118" s="1"/>
  <c r="F117"/>
  <c r="K117" s="1"/>
  <c r="F115"/>
  <c r="K115" s="1"/>
  <c r="F114"/>
  <c r="F113" s="1"/>
  <c r="F112"/>
  <c r="K112" s="1"/>
  <c r="F111"/>
  <c r="K111" s="1"/>
  <c r="F110"/>
  <c r="K110" s="1"/>
  <c r="F109"/>
  <c r="K109" s="1"/>
  <c r="F108"/>
  <c r="K108" s="1"/>
  <c r="F107"/>
  <c r="K107" s="1"/>
  <c r="F106"/>
  <c r="K106" s="1"/>
  <c r="F105"/>
  <c r="K105" s="1"/>
  <c r="F104"/>
  <c r="K104" s="1"/>
  <c r="F103"/>
  <c r="K103" s="1"/>
  <c r="F102"/>
  <c r="K102" s="1"/>
  <c r="F101"/>
  <c r="F100" s="1"/>
  <c r="F99" s="1"/>
  <c r="F98"/>
  <c r="K98" s="1"/>
  <c r="F97"/>
  <c r="K97" s="1"/>
  <c r="F96"/>
  <c r="K96" s="1"/>
  <c r="F95"/>
  <c r="K95" s="1"/>
  <c r="F94"/>
  <c r="K94" s="1"/>
  <c r="F93"/>
  <c r="K93" s="1"/>
  <c r="F92"/>
  <c r="K92" s="1"/>
  <c r="F64"/>
  <c r="K64" s="1"/>
  <c r="F63"/>
  <c r="K63" s="1"/>
  <c r="F62"/>
  <c r="K62" s="1"/>
  <c r="F61"/>
  <c r="K61" s="1"/>
  <c r="F60"/>
  <c r="K60" s="1"/>
  <c r="F59"/>
  <c r="K59" s="1"/>
  <c r="F58"/>
  <c r="K58" s="1"/>
  <c r="F57"/>
  <c r="F56" s="1"/>
  <c r="F55" s="1"/>
  <c r="F54"/>
  <c r="K54" s="1"/>
  <c r="F53"/>
  <c r="F52" s="1"/>
  <c r="F51"/>
  <c r="K51" s="1"/>
  <c r="F50"/>
  <c r="F49" s="1"/>
  <c r="F48"/>
  <c r="K48" s="1"/>
  <c r="F47"/>
  <c r="K47" s="1"/>
  <c r="F46"/>
  <c r="K46" s="1"/>
  <c r="F45"/>
  <c r="K45" s="1"/>
  <c r="F44"/>
  <c r="K44" s="1"/>
  <c r="F43"/>
  <c r="K43" s="1"/>
  <c r="F42"/>
  <c r="K42" s="1"/>
  <c r="F41"/>
  <c r="K41" s="1"/>
  <c r="F40"/>
  <c r="K40" s="1"/>
  <c r="F39"/>
  <c r="K39" s="1"/>
  <c r="F38"/>
  <c r="K38" s="1"/>
  <c r="C172"/>
  <c r="C171"/>
  <c r="C165"/>
  <c r="C155"/>
  <c r="C150"/>
  <c r="C130"/>
  <c r="C121"/>
  <c r="C113"/>
  <c r="C100"/>
  <c r="C99" s="1"/>
  <c r="C83"/>
  <c r="C78"/>
  <c r="C69"/>
  <c r="C66"/>
  <c r="C56"/>
  <c r="C55" s="1"/>
  <c r="C52"/>
  <c r="C49"/>
  <c r="C36"/>
  <c r="C27"/>
  <c r="C15"/>
  <c r="C12"/>
  <c r="C11" s="1"/>
  <c r="F11" l="1"/>
  <c r="E177"/>
  <c r="J161"/>
  <c r="K86"/>
  <c r="K78"/>
  <c r="K66"/>
  <c r="J86"/>
  <c r="J78"/>
  <c r="J66"/>
  <c r="D177"/>
  <c r="I177"/>
  <c r="H177"/>
  <c r="J165"/>
  <c r="J155"/>
  <c r="J150"/>
  <c r="J137"/>
  <c r="J130"/>
  <c r="J121"/>
  <c r="J113"/>
  <c r="J100"/>
  <c r="J90"/>
  <c r="J83"/>
  <c r="J69"/>
  <c r="J52"/>
  <c r="J12"/>
  <c r="G177"/>
  <c r="K27"/>
  <c r="K90"/>
  <c r="K69"/>
  <c r="K83"/>
  <c r="K36"/>
  <c r="K15"/>
  <c r="K12"/>
  <c r="J56"/>
  <c r="J99"/>
  <c r="J55"/>
  <c r="J11"/>
  <c r="K173"/>
  <c r="K172" s="1"/>
  <c r="K171" s="1"/>
  <c r="K166"/>
  <c r="K165" s="1"/>
  <c r="K162"/>
  <c r="K161" s="1"/>
  <c r="K156"/>
  <c r="K155" s="1"/>
  <c r="K151"/>
  <c r="K150" s="1"/>
  <c r="K138"/>
  <c r="K137" s="1"/>
  <c r="K131"/>
  <c r="K130" s="1"/>
  <c r="K122"/>
  <c r="K121" s="1"/>
  <c r="K114"/>
  <c r="K113" s="1"/>
  <c r="K101"/>
  <c r="K100" s="1"/>
  <c r="K99" s="1"/>
  <c r="K57"/>
  <c r="K56" s="1"/>
  <c r="K55" s="1"/>
  <c r="K53"/>
  <c r="K52" s="1"/>
  <c r="K50"/>
  <c r="K49" s="1"/>
  <c r="K11" s="1"/>
  <c r="E61" i="4"/>
  <c r="G2"/>
  <c r="F3"/>
  <c r="F12"/>
  <c r="G61"/>
  <c r="C177" i="1"/>
  <c r="J177" l="1"/>
  <c r="K177"/>
  <c r="F177"/>
</calcChain>
</file>

<file path=xl/sharedStrings.xml><?xml version="1.0" encoding="utf-8"?>
<sst xmlns="http://schemas.openxmlformats.org/spreadsheetml/2006/main" count="191" uniqueCount="176">
  <si>
    <t>HOJA No.        :</t>
  </si>
  <si>
    <t>IMV0309245S5</t>
  </si>
  <si>
    <t>PARTIDA</t>
  </si>
  <si>
    <t>C O N C E P T O</t>
  </si>
  <si>
    <t>AUTORIZADO</t>
  </si>
  <si>
    <t>AMPLIACION</t>
  </si>
  <si>
    <t>REDUCCION</t>
  </si>
  <si>
    <t>MODIFICADO</t>
  </si>
  <si>
    <t>EJER. PAGADO</t>
  </si>
  <si>
    <t>EJER. POR PAGAR</t>
  </si>
  <si>
    <t>COMPROMETIDO</t>
  </si>
  <si>
    <t>TOTAL EJERCIDO</t>
  </si>
  <si>
    <t>POR EJERCER</t>
  </si>
  <si>
    <t>Sueldo base.</t>
  </si>
  <si>
    <t>Aguinaldo.</t>
  </si>
  <si>
    <t>Seguros y fianzas.</t>
  </si>
  <si>
    <t>Impuesto sobre erogaciones por remuneraciones al trabajo personal.</t>
  </si>
  <si>
    <t>Cuotas de servicio de salud.</t>
  </si>
  <si>
    <t>Riesgo de trabajo.</t>
  </si>
  <si>
    <t>Cuotas para fondo de retiro.</t>
  </si>
  <si>
    <t>Prima de antigedad.</t>
  </si>
  <si>
    <t>Est¡mulos por puntualidad y asistencia.</t>
  </si>
  <si>
    <t>Despensa.</t>
  </si>
  <si>
    <t>Seguro de separaci¢n individualizado.</t>
  </si>
  <si>
    <t>Becas para hijos de trabajadores sindicalizados.</t>
  </si>
  <si>
    <t>Gratificaci¢n por convenio.</t>
  </si>
  <si>
    <t>Prima por jubilaci¢n.</t>
  </si>
  <si>
    <t>Otros gastos derivados de convenio.</t>
  </si>
  <si>
    <t>Gratificaci¢n por productividad.</t>
  </si>
  <si>
    <t>Materiales y £tiles de oficina.</t>
  </si>
  <si>
    <t>Material de limpieza.</t>
  </si>
  <si>
    <t>Materiales y £tiles para el procesamiento en equipos y bienes inform ticos.</t>
  </si>
  <si>
    <t>Material de foto, cine y grabaci¢n.</t>
  </si>
  <si>
    <t>Material de informaci¢n.</t>
  </si>
  <si>
    <t>Refacciones, accesorios y herramientas.</t>
  </si>
  <si>
    <t>Utensilios para el servicio de alimentaci¢n.</t>
  </si>
  <si>
    <t>Refacciones y accesorios para equipo de c¢mputo.</t>
  </si>
  <si>
    <t>Materiales de construcci¢n.</t>
  </si>
  <si>
    <t>Estructuras y manufacturas para todo tipo de construcci¢n.</t>
  </si>
  <si>
    <t>Materiales complementarios.</t>
  </si>
  <si>
    <t>Material el‚ctrico y electr¢nico.</t>
  </si>
  <si>
    <t>Material de se¤alizaci¢n.</t>
  </si>
  <si>
    <t>Sustancias qu¡micas.</t>
  </si>
  <si>
    <t>Medicinas y productos farmac‚uticos.</t>
  </si>
  <si>
    <t>Combustibles, lubricantes y aditivos.</t>
  </si>
  <si>
    <t>Art¡culos para la extinci¢n de incendios.</t>
  </si>
  <si>
    <t>Otros enseres.</t>
  </si>
  <si>
    <t>Servicio postal y telegr fico.</t>
  </si>
  <si>
    <t>Servicio de agua.</t>
  </si>
  <si>
    <t>Servicios de radiolocalizaci¢n y telecomunicaci¢n.</t>
  </si>
  <si>
    <t>Arrendamiento de maquinaria y equipo.</t>
  </si>
  <si>
    <t>Arrendamiento de veh¡culos.</t>
  </si>
  <si>
    <t>Asesor¡as asociadas a convenios o acuerdos.</t>
  </si>
  <si>
    <t>Fletes y maniobras.</t>
  </si>
  <si>
    <t>Servicios bancarios y financieros.</t>
  </si>
  <si>
    <t>Otros impuestos y derechos.</t>
  </si>
  <si>
    <t>Servicios de vigilancia.</t>
  </si>
  <si>
    <t>Reparaci¢n y mantenimiento de inmuebles.</t>
  </si>
  <si>
    <t>Reparaci¢n y mantenimiento para equipo y redes de tele y radio transmisi¢n.</t>
  </si>
  <si>
    <t>Reparaci¢n y mantenimiento de veh¡culos terrestres, a‚reos y lacustres.</t>
  </si>
  <si>
    <t>Gastos de ceremonias oficiales y de orden social.</t>
  </si>
  <si>
    <t>Cuotas y suscripciones.</t>
  </si>
  <si>
    <t>T O T A L E S</t>
  </si>
  <si>
    <t>INSTITUTO MEXIQUENSE DE LA VIVIENDA SOCIAL</t>
  </si>
  <si>
    <t>SERVICIOS PERSONALES</t>
  </si>
  <si>
    <t>REMUNERACIONES AL PERSONAL DE CARµCTER PERMANENTE</t>
  </si>
  <si>
    <t>Sueldos base al personal permanente.</t>
  </si>
  <si>
    <t>REMUNERACIONES ADICIONALES Y ESPECIALES.</t>
  </si>
  <si>
    <t>Primas por a¤os de servicio efectivos prestados.</t>
  </si>
  <si>
    <t>Primas de vacaciones, dominical y gratificaci¢n de fin de a¤o.</t>
  </si>
  <si>
    <t>Prima vacacional</t>
  </si>
  <si>
    <t>Compensaciones.</t>
  </si>
  <si>
    <t>Compensaci¢n por retabulaci¢n.</t>
  </si>
  <si>
    <t>Gratificaci¢n.</t>
  </si>
  <si>
    <t>Estudios superiores.</t>
  </si>
  <si>
    <t>SEGURIDAD SOCIAL.</t>
  </si>
  <si>
    <t>Aportaciones de seguridad social.</t>
  </si>
  <si>
    <t>Cuotas al Sistema Solidario de Reparto.</t>
  </si>
  <si>
    <t>Cuotas del Sistema de Capitalizaci¢n Individual.</t>
  </si>
  <si>
    <t>Aportaciones para financiar los gastos generales de administraci¢n del ISSE</t>
  </si>
  <si>
    <t>Aportaciones para seguros.</t>
  </si>
  <si>
    <t>OTRAS PRESTACIONES SOCIALES Y ECONàMICAS.</t>
  </si>
  <si>
    <t>Cuotas para el fondo de ahorro y fondo de trabajo.</t>
  </si>
  <si>
    <t>Prestaciones y haberes de retiro.</t>
  </si>
  <si>
    <t>Prestaciones contractuales.</t>
  </si>
  <si>
    <t>D¡as c¡vicos y econ¢micos.</t>
  </si>
  <si>
    <t>Otras prestaciones sociales y econ¢micas.</t>
  </si>
  <si>
    <t>PAGO DE ESTÖMULOS A SERVIDORES PéBLICOS.</t>
  </si>
  <si>
    <t>Est¡mulos.</t>
  </si>
  <si>
    <t>IMPUESTO SOBRE NàMINAS Y OTROS QUE SE DERIVEN DE UNA RELACIàN LABORAL.</t>
  </si>
  <si>
    <t>Impuesto sobre n¢minas.</t>
  </si>
  <si>
    <t>MATERIALES Y SUMINISTROS</t>
  </si>
  <si>
    <t>MATERIALES DE ADMINISTRACIàN, EMISIàN DE DOCUMENTOS Y ARTÖCULOS OFICIALES.</t>
  </si>
  <si>
    <t>Materiales, £tiles y equipos menores de oficina.</t>
  </si>
  <si>
    <t>Materiales £tiles y equipos menores de tecnolog¡as de la informaci¢n y comu</t>
  </si>
  <si>
    <t>Material impreso e informaci¢n digital.</t>
  </si>
  <si>
    <t>Material y enseres de limpieza.</t>
  </si>
  <si>
    <t>ALIMENTOS Y UTENSILIOS.</t>
  </si>
  <si>
    <t>MATERIALES Y ARTÖCULOS DE CONSTRUCCIàN Y DE REPARACIàN.</t>
  </si>
  <si>
    <t>µrboles y plantas de ornato.</t>
  </si>
  <si>
    <t>Otros materiales y art¡culos de construcci¢n y reparaci¢n.</t>
  </si>
  <si>
    <t>PRODUCTOS QUÖMICOS, FARMACUTICOS Y DE LABORATORIO.</t>
  </si>
  <si>
    <t>Productos qu¡micos b sicos.</t>
  </si>
  <si>
    <t>COMBUSTIBLES, LUBRICANTES Y ADITIVOS.</t>
  </si>
  <si>
    <t>VESTUARIO, BLANCOS, PRENDAS DE PROTECCIàN Y ARTÖCULOS DEPORTIVOS.</t>
  </si>
  <si>
    <t>Vestuario y uniformes.</t>
  </si>
  <si>
    <t>HERRAMIENTAS, REFACCIONES Y ACCESORIOS MENORES.</t>
  </si>
  <si>
    <t>Herramientas menores.</t>
  </si>
  <si>
    <t>Refacciones y accesorios menores de equipo de c¢mputo y tecnolog¡as de la i</t>
  </si>
  <si>
    <t>Refacciones y accesorios menores de equipo de defensa y seguridad.</t>
  </si>
  <si>
    <t>Refacciones y accesorios menores otros bienes muebles.</t>
  </si>
  <si>
    <t xml:space="preserve"> SERVICIOS GENERALES.</t>
  </si>
  <si>
    <t>SERVICIOS BµSICOS.</t>
  </si>
  <si>
    <t>Energ¡a el‚ctrica.</t>
  </si>
  <si>
    <t>Servicio de energ¡a el‚ctrica.</t>
  </si>
  <si>
    <t>Agua.</t>
  </si>
  <si>
    <t>Telefon¡a tradicional.</t>
  </si>
  <si>
    <t>Servicio de telefon¡a convencional.</t>
  </si>
  <si>
    <t>Telefon¡a celular.</t>
  </si>
  <si>
    <t>Servicio de telefon¡a celular.</t>
  </si>
  <si>
    <t>Servicios de telecomunicaciones y sat‚lites.</t>
  </si>
  <si>
    <t>Servicios postales y telegr ficos.</t>
  </si>
  <si>
    <t>SERVICIOS DE ARRENDAMIENTO.</t>
  </si>
  <si>
    <t>Arrendamiento de edificios.</t>
  </si>
  <si>
    <t>Arrendamiento de edificios y locales.</t>
  </si>
  <si>
    <t>Arrendamiento de equipo de transporte.</t>
  </si>
  <si>
    <t>Arrendamiento de maquinaria, otros equipos y herramientas.</t>
  </si>
  <si>
    <t>SERVICIOS PROFESIONALES, CIENTÖFICOS, TCNICOS Y OTROS SERVICIOS.</t>
  </si>
  <si>
    <t>Servicios legales, de contabilidad, auditor¡a y relacionados.</t>
  </si>
  <si>
    <t>Servicios de apoyo administrativo, traducci¢n, fotocopiado e impresi¢n.</t>
  </si>
  <si>
    <t>Servicios de fotocopiado, impresi¢n y reproducci¢n de documentos oficiales.</t>
  </si>
  <si>
    <t>SERVICIOS FINANCIEROS, BANCARIOS Y COMERCIALES.</t>
  </si>
  <si>
    <t>Servicios financieros y bancarios.</t>
  </si>
  <si>
    <t>Seguro de bienes patrimoniales.</t>
  </si>
  <si>
    <t>Fletes y maniobras.-</t>
  </si>
  <si>
    <t>SERVICIOS DE INSTALACION, REPARACIàN, MANTENIMIENTO Y CONSERVACIàN.</t>
  </si>
  <si>
    <t>Conservaci¢n y mantenimiento menor de inmuebles.</t>
  </si>
  <si>
    <t>Instalaci¢n, reparaci¢n y mantenimiento de mobiliario y equipo de administr</t>
  </si>
  <si>
    <t>Reparaci¢n, mantenimiento e instalaci¢n de mobiliario y equipo de oficina.</t>
  </si>
  <si>
    <t>Instalaci¢n, reparaci¢n y mantenimiento de equipo de computo y tecnolog¡as</t>
  </si>
  <si>
    <t>Reparaci¢n, instalaci¢n y mantenimiento de bienes inform ticos, microfilmac</t>
  </si>
  <si>
    <t>Reparaci¢n y mantenimiento de equipo de transporte.</t>
  </si>
  <si>
    <t>Servicios de limpieza y manejo de desechos.</t>
  </si>
  <si>
    <t>Servicios de lavander¡a, limpieza e higiene.</t>
  </si>
  <si>
    <t>SERVICIOS DE COMUNICACIàN SOCIAL Y PUBLICIDAD.</t>
  </si>
  <si>
    <t>Difusi¢n por radio, televisi¢n y otros medios de mensajes sobre programas y</t>
  </si>
  <si>
    <t>Publicaciones oficiales y de informaci¢n en general para difusi¢n.</t>
  </si>
  <si>
    <t>Servicios de revelado de fotograf¡as.</t>
  </si>
  <si>
    <t>Servicios de fotograf¡a.</t>
  </si>
  <si>
    <t>SERVICIOS DE TRASLADO Y VIµTICOS.</t>
  </si>
  <si>
    <t>Pasajes a‚reos.</t>
  </si>
  <si>
    <t>Transportaci¢n a‚rea.</t>
  </si>
  <si>
    <t>Otros servicios de traslado y hospedaje.</t>
  </si>
  <si>
    <t>SERVICIOS OFICIALES.</t>
  </si>
  <si>
    <t>Gastos de orden social y cultural.</t>
  </si>
  <si>
    <t>OTROS SERVICIOS GENERALES.</t>
  </si>
  <si>
    <t>Impuestos y derechos.</t>
  </si>
  <si>
    <t>Otros servicios generales.</t>
  </si>
  <si>
    <t>Gastos de servicios menores.</t>
  </si>
  <si>
    <t>INVERSIàN PéBLICA.</t>
  </si>
  <si>
    <t>OBRA PéBLICA EN BIENES DE DOMINIO PéBLICO.</t>
  </si>
  <si>
    <t>Edificaci¢n no habitacional.</t>
  </si>
  <si>
    <t>Transferencias a organismos auxiliares y subsidios a municipios.</t>
  </si>
  <si>
    <t>Ejecuci¢n de obras por administraci¢n.</t>
  </si>
  <si>
    <t>Liquidaciones por indemnizaciones, por sueldos y salarios ca¡dos.</t>
  </si>
  <si>
    <t>Servicios inform ticos.</t>
  </si>
  <si>
    <t>Capacitaci¢n.</t>
  </si>
  <si>
    <t>Convenios y aportaciones.</t>
  </si>
  <si>
    <t>Vi ticos nacionales.</t>
  </si>
  <si>
    <t>Prendas de seguridad y protección personal</t>
  </si>
  <si>
    <t>Servicios de fumigaci¢n.</t>
  </si>
  <si>
    <t xml:space="preserve"> general</t>
  </si>
  <si>
    <t>Arrendamiento de equipo y bienes informáticos</t>
  </si>
  <si>
    <t>FECHA DE EMISION:    15/08/2011</t>
  </si>
  <si>
    <t>AVANCE PRESUPUESTAL DE EGRESOS DEL 01   DE   ENERO DE 2011   AL   30  DE  JULIO  DE  2011</t>
  </si>
  <si>
    <t>Congresos y convenciones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</si>
</sst>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000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Fill="1" applyBorder="1"/>
    <xf numFmtId="4" fontId="3" fillId="0" borderId="2" xfId="0" applyNumberFormat="1" applyFont="1" applyBorder="1"/>
    <xf numFmtId="0" fontId="3" fillId="0" borderId="5" xfId="0" applyFont="1" applyBorder="1"/>
    <xf numFmtId="4" fontId="3" fillId="0" borderId="5" xfId="0" applyNumberFormat="1" applyFont="1" applyFill="1" applyBorder="1"/>
    <xf numFmtId="4" fontId="3" fillId="0" borderId="5" xfId="0" applyNumberFormat="1" applyFont="1" applyBorder="1"/>
    <xf numFmtId="0" fontId="4" fillId="0" borderId="2" xfId="0" applyFont="1" applyBorder="1"/>
    <xf numFmtId="4" fontId="4" fillId="0" borderId="2" xfId="0" applyNumberFormat="1" applyFont="1" applyFill="1" applyBorder="1"/>
    <xf numFmtId="4" fontId="3" fillId="0" borderId="0" xfId="0" applyNumberFormat="1" applyFont="1"/>
    <xf numFmtId="4" fontId="3" fillId="0" borderId="0" xfId="0" applyNumberFormat="1" applyFont="1" applyBorder="1"/>
    <xf numFmtId="0" fontId="3" fillId="0" borderId="0" xfId="0" applyFont="1" applyFill="1" applyBorder="1"/>
    <xf numFmtId="4" fontId="6" fillId="0" borderId="2" xfId="0" applyNumberFormat="1" applyFont="1" applyBorder="1"/>
    <xf numFmtId="4" fontId="3" fillId="0" borderId="1" xfId="0" applyNumberFormat="1" applyFont="1" applyBorder="1"/>
    <xf numFmtId="0" fontId="2" fillId="0" borderId="0" xfId="1"/>
    <xf numFmtId="164" fontId="4" fillId="0" borderId="0" xfId="1" applyNumberFormat="1" applyFont="1" applyBorder="1"/>
    <xf numFmtId="4" fontId="3" fillId="0" borderId="0" xfId="1" applyNumberFormat="1" applyFont="1" applyBorder="1"/>
    <xf numFmtId="1" fontId="4" fillId="0" borderId="0" xfId="1" applyNumberFormat="1" applyFont="1" applyBorder="1"/>
    <xf numFmtId="164" fontId="4" fillId="0" borderId="0" xfId="1" applyNumberFormat="1" applyFont="1" applyFill="1" applyBorder="1"/>
    <xf numFmtId="4" fontId="3" fillId="0" borderId="0" xfId="1" applyNumberFormat="1" applyFont="1" applyFill="1" applyBorder="1"/>
    <xf numFmtId="0" fontId="3" fillId="0" borderId="0" xfId="1" applyFont="1" applyFill="1" applyBorder="1"/>
    <xf numFmtId="0" fontId="1" fillId="0" borderId="0" xfId="1" applyFont="1"/>
    <xf numFmtId="43" fontId="1" fillId="0" borderId="0" xfId="2" applyFont="1"/>
    <xf numFmtId="43" fontId="2" fillId="0" borderId="0" xfId="2" applyFont="1"/>
    <xf numFmtId="43" fontId="3" fillId="0" borderId="0" xfId="2" applyFont="1" applyFill="1" applyBorder="1"/>
    <xf numFmtId="43" fontId="2" fillId="0" borderId="0" xfId="1" applyNumberFormat="1"/>
    <xf numFmtId="43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19050</xdr:colOff>
      <xdr:row>4</xdr:row>
      <xdr:rowOff>85725</xdr:rowOff>
    </xdr:to>
    <xdr:pic>
      <xdr:nvPicPr>
        <xdr:cNvPr id="1106" name="Picture 82" descr="logomu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723900" cy="6953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28575</xdr:colOff>
      <xdr:row>0</xdr:row>
      <xdr:rowOff>57150</xdr:rowOff>
    </xdr:from>
    <xdr:to>
      <xdr:col>1</xdr:col>
      <xdr:colOff>3019425</xdr:colOff>
      <xdr:row>4</xdr:row>
      <xdr:rowOff>76200</xdr:rowOff>
    </xdr:to>
    <xdr:sp macro="" textlink="">
      <xdr:nvSpPr>
        <xdr:cNvPr id="1107" name="Rectangle 83"/>
        <xdr:cNvSpPr>
          <a:spLocks noChangeArrowheads="1"/>
        </xdr:cNvSpPr>
      </xdr:nvSpPr>
      <xdr:spPr bwMode="auto">
        <a:xfrm>
          <a:off x="771525" y="57150"/>
          <a:ext cx="29908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/>
              <a:cs typeface="Arial"/>
            </a:rPr>
            <a:t>GOBIERNO DEL ESTADO DE MÉXICO</a:t>
          </a:r>
        </a:p>
        <a:p>
          <a:pPr algn="l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/>
              <a:cs typeface="Arial"/>
            </a:rPr>
            <a:t>SECRETARIA DE FINANZAS Y ADMINISTRACIÓN</a:t>
          </a:r>
        </a:p>
        <a:p>
          <a:pPr algn="l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/>
              <a:cs typeface="Arial"/>
            </a:rPr>
            <a:t>CONTADURIA GENERAL GUBERNAMENTAL</a:t>
          </a:r>
        </a:p>
        <a:p>
          <a:pPr algn="l" rtl="0">
            <a:defRPr sz="1000"/>
          </a:pPr>
          <a:r>
            <a:rPr lang="es-ES" sz="900" b="1" i="0" strike="noStrike">
              <a:solidFill>
                <a:srgbClr val="000000"/>
              </a:solidFill>
              <a:latin typeface="Arial"/>
              <a:cs typeface="Arial"/>
            </a:rPr>
            <a:t>UNIDAD DE SISTEMAS E INFORMATICA</a:t>
          </a:r>
        </a:p>
      </xdr:txBody>
    </xdr:sp>
    <xdr:clientData/>
  </xdr:twoCellAnchor>
  <xdr:twoCellAnchor>
    <xdr:from>
      <xdr:col>10</xdr:col>
      <xdr:colOff>247650</xdr:colOff>
      <xdr:row>0</xdr:row>
      <xdr:rowOff>38100</xdr:rowOff>
    </xdr:from>
    <xdr:to>
      <xdr:col>10</xdr:col>
      <xdr:colOff>1047750</xdr:colOff>
      <xdr:row>5</xdr:row>
      <xdr:rowOff>0</xdr:rowOff>
    </xdr:to>
    <xdr:pic>
      <xdr:nvPicPr>
        <xdr:cNvPr id="1108" name="Picture 84" descr="Imevis21-01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839825" y="38100"/>
          <a:ext cx="638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178</xdr:row>
      <xdr:rowOff>123825</xdr:rowOff>
    </xdr:from>
    <xdr:to>
      <xdr:col>1</xdr:col>
      <xdr:colOff>3552825</xdr:colOff>
      <xdr:row>184</xdr:row>
      <xdr:rowOff>66675</xdr:rowOff>
    </xdr:to>
    <xdr:grpSp>
      <xdr:nvGrpSpPr>
        <xdr:cNvPr id="1118" name="Group 94"/>
        <xdr:cNvGrpSpPr>
          <a:grpSpLocks/>
        </xdr:cNvGrpSpPr>
      </xdr:nvGrpSpPr>
      <xdr:grpSpPr bwMode="auto">
        <a:xfrm>
          <a:off x="457200" y="27432000"/>
          <a:ext cx="3838575" cy="857250"/>
          <a:chOff x="0" y="1920"/>
          <a:chExt cx="706" cy="90"/>
        </a:xfrm>
      </xdr:grpSpPr>
      <xdr:sp macro="" textlink="">
        <xdr:nvSpPr>
          <xdr:cNvPr id="1110" name="Rectangle 86"/>
          <xdr:cNvSpPr>
            <a:spLocks noChangeArrowheads="1"/>
          </xdr:cNvSpPr>
        </xdr:nvSpPr>
        <xdr:spPr bwMode="auto">
          <a:xfrm>
            <a:off x="0" y="1920"/>
            <a:ext cx="706" cy="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SUBDIRECTOR DE CONTABILIDAD Y PRESUPUESTO</a:t>
            </a: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        C. ALFONSO EYEYO GARCIA</a:t>
            </a:r>
          </a:p>
        </xdr:txBody>
      </xdr:sp>
      <xdr:sp macro="" textlink="">
        <xdr:nvSpPr>
          <xdr:cNvPr id="1111" name="Line 87"/>
          <xdr:cNvSpPr>
            <a:spLocks noChangeShapeType="1"/>
          </xdr:cNvSpPr>
        </xdr:nvSpPr>
        <xdr:spPr bwMode="auto">
          <a:xfrm>
            <a:off x="28" y="1981"/>
            <a:ext cx="654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</xdr:col>
      <xdr:colOff>5429250</xdr:colOff>
      <xdr:row>178</xdr:row>
      <xdr:rowOff>123825</xdr:rowOff>
    </xdr:from>
    <xdr:to>
      <xdr:col>5</xdr:col>
      <xdr:colOff>628650</xdr:colOff>
      <xdr:row>184</xdr:row>
      <xdr:rowOff>66675</xdr:rowOff>
    </xdr:to>
    <xdr:grpSp>
      <xdr:nvGrpSpPr>
        <xdr:cNvPr id="1112" name="Group 88"/>
        <xdr:cNvGrpSpPr>
          <a:grpSpLocks/>
        </xdr:cNvGrpSpPr>
      </xdr:nvGrpSpPr>
      <xdr:grpSpPr bwMode="auto">
        <a:xfrm>
          <a:off x="6172200" y="27432000"/>
          <a:ext cx="3409950" cy="857250"/>
          <a:chOff x="54" y="2485"/>
          <a:chExt cx="323" cy="85"/>
        </a:xfrm>
      </xdr:grpSpPr>
      <xdr:sp macro="" textlink="">
        <xdr:nvSpPr>
          <xdr:cNvPr id="1113" name="Rectangle 89"/>
          <xdr:cNvSpPr>
            <a:spLocks noChangeArrowheads="1"/>
          </xdr:cNvSpPr>
        </xdr:nvSpPr>
        <xdr:spPr bwMode="auto">
          <a:xfrm>
            <a:off x="54" y="2485"/>
            <a:ext cx="323" cy="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DIRECTOR DE ADMINISTRACIÓN Y FINANZAS</a:t>
            </a: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        LIC. JORGE ABUCHARD CÁRDENAS</a:t>
            </a:r>
          </a:p>
        </xdr:txBody>
      </xdr:sp>
      <xdr:sp macro="" textlink="">
        <xdr:nvSpPr>
          <xdr:cNvPr id="1114" name="Line 90"/>
          <xdr:cNvSpPr>
            <a:spLocks noChangeShapeType="1"/>
          </xdr:cNvSpPr>
        </xdr:nvSpPr>
        <xdr:spPr bwMode="auto">
          <a:xfrm>
            <a:off x="67" y="2543"/>
            <a:ext cx="299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542925</xdr:colOff>
      <xdr:row>178</xdr:row>
      <xdr:rowOff>114300</xdr:rowOff>
    </xdr:from>
    <xdr:to>
      <xdr:col>11</xdr:col>
      <xdr:colOff>0</xdr:colOff>
      <xdr:row>184</xdr:row>
      <xdr:rowOff>57150</xdr:rowOff>
    </xdr:to>
    <xdr:grpSp>
      <xdr:nvGrpSpPr>
        <xdr:cNvPr id="1115" name="Group 91"/>
        <xdr:cNvGrpSpPr>
          <a:grpSpLocks/>
        </xdr:cNvGrpSpPr>
      </xdr:nvGrpSpPr>
      <xdr:grpSpPr bwMode="auto">
        <a:xfrm>
          <a:off x="11249025" y="27422475"/>
          <a:ext cx="3362325" cy="857250"/>
          <a:chOff x="54" y="2485"/>
          <a:chExt cx="323" cy="85"/>
        </a:xfrm>
      </xdr:grpSpPr>
      <xdr:sp macro="" textlink="">
        <xdr:nvSpPr>
          <xdr:cNvPr id="1116" name="Rectangle 92"/>
          <xdr:cNvSpPr>
            <a:spLocks noChangeArrowheads="1"/>
          </xdr:cNvSpPr>
        </xdr:nvSpPr>
        <xdr:spPr bwMode="auto">
          <a:xfrm>
            <a:off x="54" y="2485"/>
            <a:ext cx="323" cy="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DIRECTOR GENERAL</a:t>
            </a: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endParaRPr lang="es-E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       C. FAUSTINO ROJAS GONZALEZ</a:t>
            </a:r>
          </a:p>
        </xdr:txBody>
      </xdr:sp>
      <xdr:sp macro="" textlink="">
        <xdr:nvSpPr>
          <xdr:cNvPr id="1117" name="Line 93"/>
          <xdr:cNvSpPr>
            <a:spLocks noChangeShapeType="1"/>
          </xdr:cNvSpPr>
        </xdr:nvSpPr>
        <xdr:spPr bwMode="auto">
          <a:xfrm>
            <a:off x="67" y="2543"/>
            <a:ext cx="299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2" name="Picture 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3" name="Picture 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4" name="Picture 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5" name="Picture 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6" name="Picture 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7" name="Picture 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8" name="Picture 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9" name="Picture 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0" name="Picture 1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1" name="Picture 1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2" name="Picture 1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3" name="Picture 1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4" name="Picture 1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5" name="Picture 1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6" name="Picture 1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7" name="Picture 1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8" name="Picture 1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9" name="Picture 1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20" name="Picture 2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21" name="Picture 2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22" name="Picture 2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23" name="Picture 2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24" name="Picture 2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25" name="Picture 2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26" name="Picture 2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27" name="Picture 2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28" name="Picture 2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29" name="Picture 2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30" name="Picture 3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31" name="Picture 3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32" name="Picture 3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33" name="Picture 3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34" name="Picture 3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35" name="Picture 3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36" name="Picture 3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37" name="Picture 3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38" name="Picture 3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39" name="Picture 3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40" name="Picture 4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41" name="Picture 4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42" name="Picture 4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43" name="Picture 4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44" name="Picture 4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45" name="Picture 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46" name="Picture 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47" name="Picture 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48" name="Picture 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49" name="Picture 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50" name="Picture 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51" name="Picture 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52" name="Picture 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53" name="Picture 1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54" name="Picture 1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55" name="Picture 1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56" name="Picture 1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57" name="Picture 1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58" name="Picture 1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59" name="Picture 1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60" name="Picture 1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61" name="Picture 1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62" name="Picture 1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63" name="Picture 2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64" name="Picture 2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65" name="Picture 2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66" name="Picture 2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67" name="Picture 2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68" name="Picture 2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69" name="Picture 2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70" name="Picture 2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71" name="Picture 2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72" name="Picture 2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73" name="Picture 3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74" name="Picture 3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75" name="Picture 3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76" name="Picture 3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77" name="Picture 3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78" name="Picture 3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79" name="Picture 3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80" name="Picture 3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81" name="Picture 3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82" name="Picture 3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83" name="Picture 4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84" name="Picture 4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85" name="Picture 4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86" name="Picture 4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87" name="Picture 4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88" name="Picture 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89" name="Picture 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90" name="Picture 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91" name="Picture 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92" name="Picture 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93" name="Picture 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94" name="Picture 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95" name="Picture 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96" name="Picture 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97" name="Picture 1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98" name="Picture 1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99" name="Picture 1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00" name="Picture 1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01" name="Picture 1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02" name="Picture 1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03" name="Picture 1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04" name="Picture 1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05" name="Picture 1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06" name="Picture 1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07" name="Picture 2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08" name="Picture 2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09" name="Picture 2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10" name="Picture 2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11" name="Picture 2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12" name="Picture 2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13" name="Picture 2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14" name="Picture 2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15" name="Picture 2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16" name="Picture 2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17" name="Picture 3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18" name="Picture 3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19" name="Picture 3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20" name="Picture 3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21" name="Picture 3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22" name="Picture 3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23" name="Picture 3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24" name="Picture 3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25" name="Picture 3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26" name="Picture 3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27" name="Picture 4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28" name="Picture 4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29" name="Picture 4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30" name="Picture 4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31" name="Picture 4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32" name="Picture 4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33" name="Picture 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34" name="Picture 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35" name="Picture 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36" name="Picture 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37" name="Picture 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38" name="Picture 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39" name="Picture 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40" name="Picture 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41" name="Picture 1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42" name="Picture 1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43" name="Picture 1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44" name="Picture 1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45" name="Picture 1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46" name="Picture 1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47" name="Picture 1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48" name="Picture 1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49" name="Picture 1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50" name="Picture 1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51" name="Picture 2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52" name="Picture 2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53" name="Picture 2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54" name="Picture 2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55" name="Picture 2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56" name="Picture 2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57" name="Picture 2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58" name="Picture 2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59" name="Picture 2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60" name="Picture 2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61" name="Picture 3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62" name="Picture 3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63" name="Picture 3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64" name="Picture 3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65" name="Picture 3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66" name="Picture 3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67" name="Picture 3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68" name="Picture 3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69" name="Picture 3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70" name="Picture 3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71" name="Picture 4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72" name="Picture 4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73" name="Picture 4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74" name="Picture 4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19</xdr:row>
      <xdr:rowOff>9525</xdr:rowOff>
    </xdr:to>
    <xdr:pic>
      <xdr:nvPicPr>
        <xdr:cNvPr id="175" name="Picture 4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3438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47625</xdr:rowOff>
    </xdr:to>
    <xdr:pic>
      <xdr:nvPicPr>
        <xdr:cNvPr id="176" name="Picture 4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05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12</xdr:row>
      <xdr:rowOff>123825</xdr:rowOff>
    </xdr:to>
    <xdr:pic>
      <xdr:nvPicPr>
        <xdr:cNvPr id="177" name="Picture 4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219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12</xdr:row>
      <xdr:rowOff>123825</xdr:rowOff>
    </xdr:to>
    <xdr:pic>
      <xdr:nvPicPr>
        <xdr:cNvPr id="178" name="Picture 4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219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12</xdr:row>
      <xdr:rowOff>123825</xdr:rowOff>
    </xdr:to>
    <xdr:pic>
      <xdr:nvPicPr>
        <xdr:cNvPr id="179" name="Picture 4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219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12</xdr:row>
      <xdr:rowOff>123825</xdr:rowOff>
    </xdr:to>
    <xdr:pic>
      <xdr:nvPicPr>
        <xdr:cNvPr id="180" name="Picture 5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219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12</xdr:row>
      <xdr:rowOff>123825</xdr:rowOff>
    </xdr:to>
    <xdr:pic>
      <xdr:nvPicPr>
        <xdr:cNvPr id="181" name="Picture 5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219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12</xdr:row>
      <xdr:rowOff>123825</xdr:rowOff>
    </xdr:to>
    <xdr:pic>
      <xdr:nvPicPr>
        <xdr:cNvPr id="182" name="Picture 5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219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83" name="Picture 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84" name="Picture 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85" name="Picture 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86" name="Picture 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87" name="Picture 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88" name="Picture 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89" name="Picture 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90" name="Picture 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91" name="Picture 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92" name="Picture 1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93" name="Picture 1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94" name="Picture 1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95" name="Picture 1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96" name="Picture 1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97" name="Picture 1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98" name="Picture 1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199" name="Picture 1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00" name="Picture 1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01" name="Picture 1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02" name="Picture 2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03" name="Picture 2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04" name="Picture 2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05" name="Picture 2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06" name="Picture 2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07" name="Picture 2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08" name="Picture 2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09" name="Picture 2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10" name="Picture 2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11" name="Picture 2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12" name="Picture 3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13" name="Picture 3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14" name="Picture 3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15" name="Picture 3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16" name="Picture 3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17" name="Picture 3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18" name="Picture 3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19" name="Picture 3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20" name="Picture 3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21" name="Picture 3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22" name="Picture 4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23" name="Picture 4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24" name="Picture 4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25" name="Picture 4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26" name="Picture 4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5</xdr:row>
      <xdr:rowOff>85725</xdr:rowOff>
    </xdr:to>
    <xdr:pic>
      <xdr:nvPicPr>
        <xdr:cNvPr id="227" name="Picture 4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847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4</xdr:row>
      <xdr:rowOff>123825</xdr:rowOff>
    </xdr:to>
    <xdr:pic>
      <xdr:nvPicPr>
        <xdr:cNvPr id="228" name="Picture 4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695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4</xdr:row>
      <xdr:rowOff>123825</xdr:rowOff>
    </xdr:to>
    <xdr:pic>
      <xdr:nvPicPr>
        <xdr:cNvPr id="229" name="Picture 4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695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4</xdr:row>
      <xdr:rowOff>123825</xdr:rowOff>
    </xdr:to>
    <xdr:pic>
      <xdr:nvPicPr>
        <xdr:cNvPr id="230" name="Picture 4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695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4</xdr:row>
      <xdr:rowOff>123825</xdr:rowOff>
    </xdr:to>
    <xdr:pic>
      <xdr:nvPicPr>
        <xdr:cNvPr id="231" name="Picture 5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695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4</xdr:row>
      <xdr:rowOff>123825</xdr:rowOff>
    </xdr:to>
    <xdr:pic>
      <xdr:nvPicPr>
        <xdr:cNvPr id="232" name="Picture 5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695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4</xdr:row>
      <xdr:rowOff>123825</xdr:rowOff>
    </xdr:to>
    <xdr:pic>
      <xdr:nvPicPr>
        <xdr:cNvPr id="233" name="Picture 5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695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4</xdr:row>
      <xdr:rowOff>123825</xdr:rowOff>
    </xdr:to>
    <xdr:pic>
      <xdr:nvPicPr>
        <xdr:cNvPr id="234" name="Picture 5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695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35" name="Picture 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36" name="Picture 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37" name="Picture 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38" name="Picture 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39" name="Picture 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40" name="Picture 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41" name="Picture 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42" name="Picture 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43" name="Picture 1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44" name="Picture 1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45" name="Picture 1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46" name="Picture 1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47" name="Picture 1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48" name="Picture 1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49" name="Picture 1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50" name="Picture 1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51" name="Picture 1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52" name="Picture 1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53" name="Picture 2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54" name="Picture 2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55" name="Picture 2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56" name="Picture 2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57" name="Picture 2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58" name="Picture 2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59" name="Picture 2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60" name="Picture 2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61" name="Picture 2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62" name="Picture 2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63" name="Picture 3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64" name="Picture 3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65" name="Picture 3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66" name="Picture 3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67" name="Picture 3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68" name="Picture 3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69" name="Picture 3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70" name="Picture 3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71" name="Picture 3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72" name="Picture 39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73" name="Picture 40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74" name="Picture 41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75" name="Picture 42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76" name="Picture 43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77" name="Picture 44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16</xdr:row>
      <xdr:rowOff>85725</xdr:rowOff>
    </xdr:to>
    <xdr:pic>
      <xdr:nvPicPr>
        <xdr:cNvPr id="278" name="Picture 45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943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15</xdr:row>
      <xdr:rowOff>85725</xdr:rowOff>
    </xdr:to>
    <xdr:pic>
      <xdr:nvPicPr>
        <xdr:cNvPr id="279" name="Picture 46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752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342900</xdr:colOff>
      <xdr:row>15</xdr:row>
      <xdr:rowOff>85725</xdr:rowOff>
    </xdr:to>
    <xdr:pic>
      <xdr:nvPicPr>
        <xdr:cNvPr id="280" name="Picture 47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171575" cy="2752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2</xdr:col>
      <xdr:colOff>342900</xdr:colOff>
      <xdr:row>53</xdr:row>
      <xdr:rowOff>85725</xdr:rowOff>
    </xdr:to>
    <xdr:pic>
      <xdr:nvPicPr>
        <xdr:cNvPr id="281" name="Picture 48" descr="logomun" hidden="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858000"/>
          <a:ext cx="1171575" cy="2752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89"/>
  <sheetViews>
    <sheetView tabSelected="1" workbookViewId="0">
      <pane ySplit="12" topLeftCell="A83" activePane="bottomLeft" state="frozen"/>
      <selection activeCell="B1" sqref="B1"/>
      <selection pane="bottomLeft" activeCell="A172" sqref="A172"/>
    </sheetView>
  </sheetViews>
  <sheetFormatPr baseColWidth="10" defaultRowHeight="12"/>
  <cols>
    <col min="1" max="1" width="11.140625" style="1" bestFit="1" customWidth="1"/>
    <col min="2" max="2" width="84.28515625" style="1" customWidth="1"/>
    <col min="3" max="4" width="13.28515625" style="1" customWidth="1"/>
    <col min="5" max="5" width="12.28515625" style="1" customWidth="1"/>
    <col min="6" max="6" width="13.28515625" style="1" customWidth="1"/>
    <col min="7" max="7" width="13" style="1" customWidth="1"/>
    <col min="8" max="8" width="15.7109375" style="1" customWidth="1"/>
    <col min="9" max="9" width="14.5703125" style="1" customWidth="1"/>
    <col min="10" max="10" width="15" style="1" bestFit="1" customWidth="1"/>
    <col min="11" max="11" width="13.28515625" style="1" bestFit="1" customWidth="1"/>
    <col min="12" max="16384" width="11.42578125" style="1"/>
  </cols>
  <sheetData>
    <row r="2" spans="1:12">
      <c r="B2" s="2"/>
      <c r="C2" s="2"/>
      <c r="D2" s="2"/>
      <c r="E2" s="2"/>
      <c r="F2" s="2"/>
      <c r="G2" s="2"/>
      <c r="H2" s="2"/>
    </row>
    <row r="3" spans="1:12">
      <c r="B3" s="2"/>
      <c r="C3" s="2"/>
      <c r="D3" s="2"/>
      <c r="E3" s="2"/>
      <c r="F3" s="2"/>
      <c r="G3" s="2"/>
      <c r="H3" s="2"/>
    </row>
    <row r="4" spans="1:12">
      <c r="B4" s="2"/>
      <c r="C4" s="2"/>
      <c r="D4" s="2"/>
      <c r="E4" s="2"/>
      <c r="F4" s="2"/>
      <c r="I4" s="2" t="s">
        <v>173</v>
      </c>
      <c r="J4" s="2"/>
    </row>
    <row r="5" spans="1:12">
      <c r="B5" s="2"/>
      <c r="C5" s="2"/>
      <c r="D5" s="2"/>
      <c r="E5" s="2"/>
      <c r="F5" s="2"/>
      <c r="I5" s="2" t="s">
        <v>0</v>
      </c>
      <c r="J5" s="3"/>
    </row>
    <row r="6" spans="1:12" ht="12.75" thickBot="1">
      <c r="A6" s="4"/>
      <c r="B6" s="4"/>
      <c r="C6" s="4"/>
      <c r="D6" s="24"/>
      <c r="E6" s="24"/>
      <c r="F6" s="24"/>
      <c r="G6" s="24"/>
      <c r="H6" s="24"/>
      <c r="I6" s="4"/>
      <c r="J6" s="4"/>
      <c r="K6" s="4"/>
    </row>
    <row r="7" spans="1:12" ht="16.5" thickTop="1">
      <c r="A7" s="40" t="s">
        <v>63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2" ht="15.75">
      <c r="A8" s="39" t="s">
        <v>1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2" ht="16.5" thickBot="1">
      <c r="A9" s="38" t="s">
        <v>174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2" s="5" customFormat="1" ht="12.75" thickTop="1">
      <c r="A10" s="10" t="s">
        <v>2</v>
      </c>
      <c r="B10" s="10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  <c r="I10" s="11" t="s">
        <v>10</v>
      </c>
      <c r="J10" s="11" t="s">
        <v>11</v>
      </c>
      <c r="K10" s="11" t="s">
        <v>12</v>
      </c>
    </row>
    <row r="11" spans="1:12">
      <c r="A11" s="12">
        <v>1000</v>
      </c>
      <c r="B11" s="12" t="s">
        <v>64</v>
      </c>
      <c r="C11" s="13">
        <f>+C12+C15+C27+C36+C49+C52</f>
        <v>154448179</v>
      </c>
      <c r="D11" s="13">
        <f t="shared" ref="D11:I11" si="0">+D12+D15+D27+D36+D49+D52</f>
        <v>8007101.1199999992</v>
      </c>
      <c r="E11" s="13">
        <f t="shared" si="0"/>
        <v>6290286.2300000004</v>
      </c>
      <c r="F11" s="13">
        <f t="shared" si="0"/>
        <v>156164993.89000002</v>
      </c>
      <c r="G11" s="13">
        <f t="shared" si="0"/>
        <v>86321636.150000006</v>
      </c>
      <c r="H11" s="13">
        <f t="shared" si="0"/>
        <v>80506.320000000007</v>
      </c>
      <c r="I11" s="13">
        <f t="shared" si="0"/>
        <v>11550</v>
      </c>
      <c r="J11" s="13">
        <f t="shared" ref="D11:K11" si="1">+J12+J15+J27+J36+J49+J52</f>
        <v>86413692.470000014</v>
      </c>
      <c r="K11" s="13">
        <f t="shared" si="1"/>
        <v>69751301.419999987</v>
      </c>
      <c r="L11" s="20"/>
    </row>
    <row r="12" spans="1:12">
      <c r="A12" s="12">
        <v>1100</v>
      </c>
      <c r="B12" s="12" t="s">
        <v>65</v>
      </c>
      <c r="C12" s="13">
        <f>SUM(C13:C14)</f>
        <v>73783230</v>
      </c>
      <c r="D12" s="13">
        <f t="shared" ref="D12:I12" si="2">SUM(D13:D14)</f>
        <v>653605.83000000007</v>
      </c>
      <c r="E12" s="13">
        <f t="shared" si="2"/>
        <v>2801735.5600000005</v>
      </c>
      <c r="F12" s="13">
        <f t="shared" si="2"/>
        <v>71635100.269999996</v>
      </c>
      <c r="G12" s="13">
        <f t="shared" si="2"/>
        <v>39595311.619999997</v>
      </c>
      <c r="H12" s="13">
        <f t="shared" si="2"/>
        <v>0</v>
      </c>
      <c r="I12" s="13">
        <f t="shared" si="2"/>
        <v>0</v>
      </c>
      <c r="J12" s="13">
        <f t="shared" ref="D12:K12" si="3">SUM(J13:J14)</f>
        <v>39595311.619999997</v>
      </c>
      <c r="K12" s="13">
        <f t="shared" si="3"/>
        <v>32039788.649999999</v>
      </c>
    </row>
    <row r="13" spans="1:12">
      <c r="A13" s="12">
        <v>1130</v>
      </c>
      <c r="B13" s="12" t="s">
        <v>66</v>
      </c>
      <c r="C13" s="13">
        <v>0</v>
      </c>
      <c r="D13" s="13">
        <v>0</v>
      </c>
      <c r="E13" s="13">
        <v>0</v>
      </c>
      <c r="F13" s="14">
        <f t="shared" ref="F13:F75" si="4">+C13+D13-E13</f>
        <v>0</v>
      </c>
      <c r="G13" s="13">
        <v>0</v>
      </c>
      <c r="H13" s="13">
        <v>0</v>
      </c>
      <c r="I13" s="14">
        <v>0</v>
      </c>
      <c r="J13" s="13">
        <f>+G13+H13+I13</f>
        <v>0</v>
      </c>
      <c r="K13" s="13">
        <f>+F13-J13</f>
        <v>0</v>
      </c>
    </row>
    <row r="14" spans="1:12">
      <c r="A14" s="12">
        <v>1131</v>
      </c>
      <c r="B14" s="12" t="s">
        <v>13</v>
      </c>
      <c r="C14" s="13">
        <v>73783230</v>
      </c>
      <c r="D14" s="13">
        <f>360621.02+368.32+292616.49</f>
        <v>653605.83000000007</v>
      </c>
      <c r="E14" s="13">
        <f>2184482.44+43181.18+348346.28+0.1+14296.8+211428.76</f>
        <v>2801735.5600000005</v>
      </c>
      <c r="F14" s="14">
        <f t="shared" si="4"/>
        <v>71635100.269999996</v>
      </c>
      <c r="G14" s="13">
        <v>39595311.619999997</v>
      </c>
      <c r="H14" s="13">
        <v>0</v>
      </c>
      <c r="I14" s="14">
        <v>0</v>
      </c>
      <c r="J14" s="13">
        <f>+G14+H14+I14</f>
        <v>39595311.619999997</v>
      </c>
      <c r="K14" s="13">
        <f>+F14-J14</f>
        <v>32039788.649999999</v>
      </c>
    </row>
    <row r="15" spans="1:12">
      <c r="A15" s="12">
        <v>1300</v>
      </c>
      <c r="B15" s="12" t="s">
        <v>67</v>
      </c>
      <c r="C15" s="13">
        <f>SUM(C16:C26)</f>
        <v>50338697</v>
      </c>
      <c r="D15" s="13">
        <f t="shared" ref="D15:J15" si="5">SUM(D16:D26)</f>
        <v>1921424.0099999998</v>
      </c>
      <c r="E15" s="13">
        <f t="shared" si="5"/>
        <v>1162140.8799999999</v>
      </c>
      <c r="F15" s="13">
        <f t="shared" si="5"/>
        <v>51097980.130000003</v>
      </c>
      <c r="G15" s="13">
        <f t="shared" si="5"/>
        <v>23665334.739999998</v>
      </c>
      <c r="H15" s="13">
        <f t="shared" si="5"/>
        <v>0</v>
      </c>
      <c r="I15" s="13">
        <f t="shared" si="5"/>
        <v>0</v>
      </c>
      <c r="J15" s="13">
        <f t="shared" si="5"/>
        <v>23665334.739999998</v>
      </c>
      <c r="K15" s="13">
        <f t="shared" ref="D15:K15" si="6">SUM(K16:K26)</f>
        <v>27432645.389999997</v>
      </c>
    </row>
    <row r="16" spans="1:12">
      <c r="A16" s="12">
        <v>1310</v>
      </c>
      <c r="B16" s="12" t="s">
        <v>68</v>
      </c>
      <c r="C16" s="13">
        <v>0</v>
      </c>
      <c r="D16" s="13">
        <v>0</v>
      </c>
      <c r="E16" s="13">
        <v>0</v>
      </c>
      <c r="F16" s="14">
        <f t="shared" si="4"/>
        <v>0</v>
      </c>
      <c r="G16" s="13">
        <v>0</v>
      </c>
      <c r="H16" s="13">
        <v>0</v>
      </c>
      <c r="I16" s="14">
        <v>0</v>
      </c>
      <c r="J16" s="13">
        <f t="shared" ref="J16:J26" si="7">+G16+H16+I16</f>
        <v>0</v>
      </c>
      <c r="K16" s="13">
        <f t="shared" ref="K16:K26" si="8">+F16-J16</f>
        <v>0</v>
      </c>
    </row>
    <row r="17" spans="1:11">
      <c r="A17" s="12">
        <v>1312</v>
      </c>
      <c r="B17" s="12" t="s">
        <v>20</v>
      </c>
      <c r="C17" s="13">
        <v>1597356</v>
      </c>
      <c r="D17" s="13">
        <f>211197.1+39608.39+40722.89</f>
        <v>291528.38</v>
      </c>
      <c r="E17" s="13">
        <v>6804.35</v>
      </c>
      <c r="F17" s="14">
        <f t="shared" si="4"/>
        <v>1882080.0299999998</v>
      </c>
      <c r="G17" s="13">
        <v>1188561.3</v>
      </c>
      <c r="H17" s="13">
        <v>0</v>
      </c>
      <c r="I17" s="14">
        <v>0</v>
      </c>
      <c r="J17" s="13">
        <f t="shared" si="7"/>
        <v>1188561.3</v>
      </c>
      <c r="K17" s="13">
        <f t="shared" si="8"/>
        <v>693518.72999999975</v>
      </c>
    </row>
    <row r="18" spans="1:11">
      <c r="A18" s="12">
        <v>1320</v>
      </c>
      <c r="B18" s="12" t="s">
        <v>69</v>
      </c>
      <c r="C18" s="13">
        <v>0</v>
      </c>
      <c r="D18" s="13">
        <v>0</v>
      </c>
      <c r="E18" s="13">
        <v>0</v>
      </c>
      <c r="F18" s="14">
        <f t="shared" si="4"/>
        <v>0</v>
      </c>
      <c r="G18" s="13">
        <v>0</v>
      </c>
      <c r="H18" s="13">
        <v>0</v>
      </c>
      <c r="I18" s="14">
        <v>0</v>
      </c>
      <c r="J18" s="13">
        <f t="shared" si="7"/>
        <v>0</v>
      </c>
      <c r="K18" s="13">
        <f t="shared" si="8"/>
        <v>0</v>
      </c>
    </row>
    <row r="19" spans="1:11">
      <c r="A19" s="12">
        <v>1321</v>
      </c>
      <c r="B19" s="12" t="s">
        <v>70</v>
      </c>
      <c r="C19" s="13">
        <v>5135496</v>
      </c>
      <c r="D19" s="13">
        <f>31309.62+4380.36+18442.08</f>
        <v>54132.06</v>
      </c>
      <c r="E19" s="13">
        <v>0</v>
      </c>
      <c r="F19" s="14">
        <f t="shared" si="4"/>
        <v>5189628.0599999996</v>
      </c>
      <c r="G19" s="13">
        <v>2289637.71</v>
      </c>
      <c r="H19" s="13">
        <v>0</v>
      </c>
      <c r="I19" s="14">
        <v>0</v>
      </c>
      <c r="J19" s="13">
        <f t="shared" si="7"/>
        <v>2289637.71</v>
      </c>
      <c r="K19" s="13">
        <f t="shared" si="8"/>
        <v>2899990.3499999996</v>
      </c>
    </row>
    <row r="20" spans="1:11">
      <c r="A20" s="12">
        <v>1322</v>
      </c>
      <c r="B20" s="12" t="s">
        <v>14</v>
      </c>
      <c r="C20" s="13">
        <v>9853221</v>
      </c>
      <c r="D20" s="13">
        <f>34103.59+13327.06</f>
        <v>47430.649999999994</v>
      </c>
      <c r="E20" s="13">
        <v>95312.49</v>
      </c>
      <c r="F20" s="14">
        <f t="shared" si="4"/>
        <v>9805339.1600000001</v>
      </c>
      <c r="G20" s="13">
        <v>3745873.52</v>
      </c>
      <c r="H20" s="13">
        <v>0</v>
      </c>
      <c r="I20" s="14">
        <v>0</v>
      </c>
      <c r="J20" s="13">
        <f t="shared" si="7"/>
        <v>3745873.52</v>
      </c>
      <c r="K20" s="13">
        <f t="shared" si="8"/>
        <v>6059465.6400000006</v>
      </c>
    </row>
    <row r="21" spans="1:11">
      <c r="A21" s="12">
        <v>1340</v>
      </c>
      <c r="B21" s="12" t="s">
        <v>71</v>
      </c>
      <c r="C21" s="13">
        <v>0</v>
      </c>
      <c r="D21" s="13">
        <v>0</v>
      </c>
      <c r="E21" s="13">
        <v>0</v>
      </c>
      <c r="F21" s="14">
        <f t="shared" si="4"/>
        <v>0</v>
      </c>
      <c r="G21" s="13">
        <v>0</v>
      </c>
      <c r="H21" s="13">
        <v>0</v>
      </c>
      <c r="I21" s="14">
        <v>0</v>
      </c>
      <c r="J21" s="13">
        <f t="shared" si="7"/>
        <v>0</v>
      </c>
      <c r="K21" s="13">
        <f t="shared" si="8"/>
        <v>0</v>
      </c>
    </row>
    <row r="22" spans="1:11">
      <c r="A22" s="12">
        <v>1344</v>
      </c>
      <c r="B22" s="12" t="s">
        <v>72</v>
      </c>
      <c r="C22" s="13">
        <v>1815477</v>
      </c>
      <c r="D22" s="13">
        <f>749263.31+2282.39+148354.11+101557+48401</f>
        <v>1049857.81</v>
      </c>
      <c r="E22" s="13">
        <v>8032.51</v>
      </c>
      <c r="F22" s="14">
        <f t="shared" si="4"/>
        <v>2857302.3000000003</v>
      </c>
      <c r="G22" s="13">
        <v>2069084.1</v>
      </c>
      <c r="H22" s="13">
        <v>0</v>
      </c>
      <c r="I22" s="14">
        <v>0</v>
      </c>
      <c r="J22" s="13">
        <f t="shared" si="7"/>
        <v>2069084.1</v>
      </c>
      <c r="K22" s="13">
        <f t="shared" si="8"/>
        <v>788218.20000000019</v>
      </c>
    </row>
    <row r="23" spans="1:11">
      <c r="A23" s="12">
        <v>1345</v>
      </c>
      <c r="B23" s="12" t="s">
        <v>73</v>
      </c>
      <c r="C23" s="13">
        <v>22928469</v>
      </c>
      <c r="D23" s="13">
        <v>0</v>
      </c>
      <c r="E23" s="13">
        <f>376475.56+35255.17+12733.53+62545.59</f>
        <v>487009.85</v>
      </c>
      <c r="F23" s="14">
        <f t="shared" si="4"/>
        <v>22441459.149999999</v>
      </c>
      <c r="G23" s="13">
        <v>12486681.950000001</v>
      </c>
      <c r="H23" s="13">
        <v>0</v>
      </c>
      <c r="I23" s="14">
        <v>0</v>
      </c>
      <c r="J23" s="13">
        <f t="shared" si="7"/>
        <v>12486681.950000001</v>
      </c>
      <c r="K23" s="13">
        <f t="shared" si="8"/>
        <v>9954777.1999999974</v>
      </c>
    </row>
    <row r="24" spans="1:11">
      <c r="A24" s="12">
        <v>1346</v>
      </c>
      <c r="B24" s="12" t="s">
        <v>25</v>
      </c>
      <c r="C24" s="13">
        <v>8463770</v>
      </c>
      <c r="D24" s="13">
        <v>430063.23</v>
      </c>
      <c r="E24" s="13">
        <v>347921.14999999997</v>
      </c>
      <c r="F24" s="14">
        <f t="shared" si="4"/>
        <v>8545912.0800000001</v>
      </c>
      <c r="G24" s="13">
        <v>1781919.16</v>
      </c>
      <c r="H24" s="13">
        <v>0</v>
      </c>
      <c r="I24" s="14">
        <v>0</v>
      </c>
      <c r="J24" s="13">
        <f t="shared" si="7"/>
        <v>1781919.16</v>
      </c>
      <c r="K24" s="13">
        <f t="shared" si="8"/>
        <v>6763992.9199999999</v>
      </c>
    </row>
    <row r="25" spans="1:11">
      <c r="A25" s="12">
        <v>1347</v>
      </c>
      <c r="B25" s="12" t="s">
        <v>28</v>
      </c>
      <c r="C25" s="13">
        <v>446616</v>
      </c>
      <c r="D25" s="13">
        <v>0</v>
      </c>
      <c r="E25" s="13">
        <v>216608.76</v>
      </c>
      <c r="F25" s="14">
        <f t="shared" si="4"/>
        <v>230007.24</v>
      </c>
      <c r="G25" s="13">
        <v>0</v>
      </c>
      <c r="H25" s="13">
        <v>0</v>
      </c>
      <c r="I25" s="14">
        <v>0</v>
      </c>
      <c r="J25" s="13">
        <f t="shared" si="7"/>
        <v>0</v>
      </c>
      <c r="K25" s="13">
        <f t="shared" si="8"/>
        <v>230007.24</v>
      </c>
    </row>
    <row r="26" spans="1:11">
      <c r="A26" s="12">
        <v>1349</v>
      </c>
      <c r="B26" s="12" t="s">
        <v>74</v>
      </c>
      <c r="C26" s="13">
        <v>98292</v>
      </c>
      <c r="D26" s="13">
        <f>35216.42+6597.73+4738.83+1858.9</f>
        <v>48411.88</v>
      </c>
      <c r="E26" s="13">
        <v>451.77</v>
      </c>
      <c r="F26" s="14">
        <f t="shared" si="4"/>
        <v>146252.11000000002</v>
      </c>
      <c r="G26" s="13">
        <v>103577</v>
      </c>
      <c r="H26" s="13">
        <v>0</v>
      </c>
      <c r="I26" s="14">
        <v>0</v>
      </c>
      <c r="J26" s="13">
        <f t="shared" si="7"/>
        <v>103577</v>
      </c>
      <c r="K26" s="13">
        <f t="shared" si="8"/>
        <v>42675.110000000015</v>
      </c>
    </row>
    <row r="27" spans="1:11">
      <c r="A27" s="12">
        <v>1400</v>
      </c>
      <c r="B27" s="12" t="s">
        <v>75</v>
      </c>
      <c r="C27" s="13">
        <f>SUM(C28:C35)</f>
        <v>11964038</v>
      </c>
      <c r="D27" s="13">
        <f t="shared" ref="D27:J27" si="9">SUM(D28:D35)</f>
        <v>691427.6</v>
      </c>
      <c r="E27" s="13">
        <f t="shared" si="9"/>
        <v>763585</v>
      </c>
      <c r="F27" s="13">
        <f t="shared" si="9"/>
        <v>11891880.6</v>
      </c>
      <c r="G27" s="13">
        <f t="shared" si="9"/>
        <v>7015572.4000000013</v>
      </c>
      <c r="H27" s="13">
        <f t="shared" si="9"/>
        <v>0</v>
      </c>
      <c r="I27" s="13">
        <f t="shared" si="9"/>
        <v>0</v>
      </c>
      <c r="J27" s="13">
        <f t="shared" si="9"/>
        <v>7015572.4000000013</v>
      </c>
      <c r="K27" s="13">
        <f t="shared" ref="E27:K27" si="10">SUM(K28:K35)</f>
        <v>4876308.1999999993</v>
      </c>
    </row>
    <row r="28" spans="1:11">
      <c r="A28" s="12">
        <v>1410</v>
      </c>
      <c r="B28" s="12" t="s">
        <v>76</v>
      </c>
      <c r="C28" s="13">
        <v>0</v>
      </c>
      <c r="D28" s="13">
        <v>0</v>
      </c>
      <c r="E28" s="13">
        <v>0</v>
      </c>
      <c r="F28" s="14">
        <f t="shared" si="4"/>
        <v>0</v>
      </c>
      <c r="G28" s="13">
        <v>0</v>
      </c>
      <c r="H28" s="13">
        <v>0</v>
      </c>
      <c r="I28" s="14">
        <v>0</v>
      </c>
      <c r="J28" s="13">
        <f t="shared" ref="J28:J35" si="11">+G28+H28+I28</f>
        <v>0</v>
      </c>
      <c r="K28" s="13">
        <f t="shared" ref="K28:K35" si="12">+F28-J28</f>
        <v>0</v>
      </c>
    </row>
    <row r="29" spans="1:11">
      <c r="A29" s="12">
        <v>1412</v>
      </c>
      <c r="B29" s="12" t="s">
        <v>17</v>
      </c>
      <c r="C29" s="13">
        <v>3798780</v>
      </c>
      <c r="D29" s="13">
        <f>184563.56+41539.45+21990.94</f>
        <v>248093.95</v>
      </c>
      <c r="E29" s="13">
        <v>100</v>
      </c>
      <c r="F29" s="14">
        <f t="shared" si="4"/>
        <v>4046773.95</v>
      </c>
      <c r="G29" s="13">
        <v>2397470.3000000003</v>
      </c>
      <c r="H29" s="13">
        <v>0</v>
      </c>
      <c r="I29" s="14">
        <v>0</v>
      </c>
      <c r="J29" s="13">
        <f t="shared" si="11"/>
        <v>2397470.3000000003</v>
      </c>
      <c r="K29" s="13">
        <f t="shared" si="12"/>
        <v>1649303.65</v>
      </c>
    </row>
    <row r="30" spans="1:11">
      <c r="A30" s="12">
        <v>1413</v>
      </c>
      <c r="B30" s="12" t="s">
        <v>77</v>
      </c>
      <c r="C30" s="13">
        <v>4752944</v>
      </c>
      <c r="D30" s="13">
        <f>291815.27+28953.49</f>
        <v>320768.76</v>
      </c>
      <c r="E30" s="13">
        <v>0</v>
      </c>
      <c r="F30" s="14">
        <f t="shared" si="4"/>
        <v>5073712.76</v>
      </c>
      <c r="G30" s="13">
        <v>3010143.2300000004</v>
      </c>
      <c r="H30" s="13">
        <v>0</v>
      </c>
      <c r="I30" s="14">
        <v>0</v>
      </c>
      <c r="J30" s="13">
        <f t="shared" si="11"/>
        <v>3010143.2300000004</v>
      </c>
      <c r="K30" s="13">
        <f t="shared" si="12"/>
        <v>2063569.5299999993</v>
      </c>
    </row>
    <row r="31" spans="1:11">
      <c r="A31" s="12">
        <v>1414</v>
      </c>
      <c r="B31" s="12" t="s">
        <v>78</v>
      </c>
      <c r="C31" s="13">
        <v>807708</v>
      </c>
      <c r="D31" s="13">
        <f>16787.67+5545.71+1264.63</f>
        <v>23598.01</v>
      </c>
      <c r="E31" s="13">
        <v>0</v>
      </c>
      <c r="F31" s="14">
        <f t="shared" si="4"/>
        <v>831306.01</v>
      </c>
      <c r="G31" s="13">
        <v>480626.12</v>
      </c>
      <c r="H31" s="13">
        <v>0</v>
      </c>
      <c r="I31" s="14">
        <v>0</v>
      </c>
      <c r="J31" s="13">
        <f t="shared" si="11"/>
        <v>480626.12</v>
      </c>
      <c r="K31" s="13">
        <f t="shared" si="12"/>
        <v>350679.89</v>
      </c>
    </row>
    <row r="32" spans="1:11">
      <c r="A32" s="12">
        <v>1415</v>
      </c>
      <c r="B32" s="12" t="s">
        <v>79</v>
      </c>
      <c r="C32" s="13">
        <v>867984</v>
      </c>
      <c r="D32" s="13">
        <f>31365.22+7305.89+2961.82</f>
        <v>41632.93</v>
      </c>
      <c r="E32" s="13">
        <v>0</v>
      </c>
      <c r="F32" s="14">
        <f t="shared" si="4"/>
        <v>909616.93</v>
      </c>
      <c r="G32" s="13">
        <v>532767.21</v>
      </c>
      <c r="H32" s="13">
        <v>0</v>
      </c>
      <c r="I32" s="14">
        <v>0</v>
      </c>
      <c r="J32" s="13">
        <f t="shared" si="11"/>
        <v>532767.21</v>
      </c>
      <c r="K32" s="13">
        <f t="shared" si="12"/>
        <v>376849.72000000009</v>
      </c>
    </row>
    <row r="33" spans="1:11">
      <c r="A33" s="12">
        <v>1416</v>
      </c>
      <c r="B33" s="12" t="s">
        <v>18</v>
      </c>
      <c r="C33" s="13">
        <v>949452</v>
      </c>
      <c r="D33" s="13">
        <f>42768.45+9706.7+4858.8</f>
        <v>57333.95</v>
      </c>
      <c r="E33" s="13">
        <v>0</v>
      </c>
      <c r="F33" s="14">
        <f t="shared" si="4"/>
        <v>1006785.95</v>
      </c>
      <c r="G33" s="13">
        <v>594565.54</v>
      </c>
      <c r="H33" s="13">
        <v>0</v>
      </c>
      <c r="I33" s="14">
        <v>0</v>
      </c>
      <c r="J33" s="13">
        <f t="shared" si="11"/>
        <v>594565.54</v>
      </c>
      <c r="K33" s="13">
        <f t="shared" si="12"/>
        <v>412220.40999999992</v>
      </c>
    </row>
    <row r="34" spans="1:11">
      <c r="A34" s="12">
        <v>1440</v>
      </c>
      <c r="B34" s="12" t="s">
        <v>80</v>
      </c>
      <c r="C34" s="13">
        <v>0</v>
      </c>
      <c r="D34" s="13">
        <v>0</v>
      </c>
      <c r="E34" s="13">
        <v>0</v>
      </c>
      <c r="F34" s="14">
        <f t="shared" si="4"/>
        <v>0</v>
      </c>
      <c r="G34" s="13">
        <v>0</v>
      </c>
      <c r="H34" s="13">
        <v>0</v>
      </c>
      <c r="I34" s="14">
        <v>0</v>
      </c>
      <c r="J34" s="13">
        <f t="shared" si="11"/>
        <v>0</v>
      </c>
      <c r="K34" s="13">
        <f t="shared" si="12"/>
        <v>0</v>
      </c>
    </row>
    <row r="35" spans="1:11">
      <c r="A35" s="12">
        <v>1441</v>
      </c>
      <c r="B35" s="12" t="s">
        <v>15</v>
      </c>
      <c r="C35" s="13">
        <v>787170</v>
      </c>
      <c r="D35" s="13">
        <v>0</v>
      </c>
      <c r="E35" s="13">
        <v>763485</v>
      </c>
      <c r="F35" s="14">
        <f t="shared" si="4"/>
        <v>23685</v>
      </c>
      <c r="G35" s="13">
        <v>0</v>
      </c>
      <c r="H35" s="13">
        <v>0</v>
      </c>
      <c r="I35" s="14">
        <v>0</v>
      </c>
      <c r="J35" s="13">
        <f t="shared" si="11"/>
        <v>0</v>
      </c>
      <c r="K35" s="13">
        <f t="shared" si="12"/>
        <v>23685</v>
      </c>
    </row>
    <row r="36" spans="1:11">
      <c r="A36" s="12">
        <v>1500</v>
      </c>
      <c r="B36" s="12" t="s">
        <v>81</v>
      </c>
      <c r="C36" s="13">
        <f>SUM(C37:C48)</f>
        <v>10871148</v>
      </c>
      <c r="D36" s="13">
        <f t="shared" ref="D36:J36" si="13">SUM(D37:D48)</f>
        <v>4052926.6199999996</v>
      </c>
      <c r="E36" s="13">
        <f t="shared" si="13"/>
        <v>824139.66999999993</v>
      </c>
      <c r="F36" s="13">
        <f t="shared" si="13"/>
        <v>14099934.949999999</v>
      </c>
      <c r="G36" s="13">
        <f t="shared" si="13"/>
        <v>9498606.4700000007</v>
      </c>
      <c r="H36" s="13">
        <f t="shared" si="13"/>
        <v>80506.320000000007</v>
      </c>
      <c r="I36" s="13">
        <f t="shared" si="13"/>
        <v>11550</v>
      </c>
      <c r="J36" s="13">
        <f t="shared" si="13"/>
        <v>9590662.7899999991</v>
      </c>
      <c r="K36" s="13">
        <f t="shared" ref="D36:K36" si="14">SUM(K37:K48)</f>
        <v>4509272.16</v>
      </c>
    </row>
    <row r="37" spans="1:11">
      <c r="A37" s="12">
        <v>1510</v>
      </c>
      <c r="B37" s="12" t="s">
        <v>82</v>
      </c>
      <c r="C37" s="13">
        <v>0</v>
      </c>
      <c r="D37" s="13">
        <v>0</v>
      </c>
      <c r="E37" s="13">
        <v>0</v>
      </c>
      <c r="F37" s="14">
        <f t="shared" si="4"/>
        <v>0</v>
      </c>
      <c r="G37" s="13">
        <v>0</v>
      </c>
      <c r="H37" s="13">
        <v>0</v>
      </c>
      <c r="I37" s="14">
        <v>0</v>
      </c>
      <c r="J37" s="13">
        <f t="shared" ref="J37:J48" si="15">+G37+H37+I37</f>
        <v>0</v>
      </c>
      <c r="K37" s="13">
        <f t="shared" ref="K37:K48" si="16">+F37-J37</f>
        <v>0</v>
      </c>
    </row>
    <row r="38" spans="1:11">
      <c r="A38" s="12">
        <v>1511</v>
      </c>
      <c r="B38" s="12" t="s">
        <v>19</v>
      </c>
      <c r="C38" s="13">
        <v>291594</v>
      </c>
      <c r="D38" s="13">
        <f>204828.39+12285.69</f>
        <v>217114.08000000002</v>
      </c>
      <c r="E38" s="13">
        <f>7516.53+5011.02</f>
        <v>12527.55</v>
      </c>
      <c r="F38" s="14">
        <f t="shared" si="4"/>
        <v>496180.53</v>
      </c>
      <c r="G38" s="13">
        <v>367077.05</v>
      </c>
      <c r="H38" s="13">
        <v>0</v>
      </c>
      <c r="I38" s="14">
        <v>0</v>
      </c>
      <c r="J38" s="13">
        <f t="shared" si="15"/>
        <v>367077.05</v>
      </c>
      <c r="K38" s="13">
        <f t="shared" si="16"/>
        <v>129103.48000000004</v>
      </c>
    </row>
    <row r="39" spans="1:11">
      <c r="A39" s="12">
        <v>1512</v>
      </c>
      <c r="B39" s="12" t="s">
        <v>23</v>
      </c>
      <c r="C39" s="13">
        <v>3749136</v>
      </c>
      <c r="D39" s="13">
        <f>6551.36+1644.72+0.1+3727.31</f>
        <v>11923.49</v>
      </c>
      <c r="E39" s="13">
        <v>4443.1099999999997</v>
      </c>
      <c r="F39" s="14">
        <f t="shared" si="4"/>
        <v>3756616.3800000004</v>
      </c>
      <c r="G39" s="13">
        <v>2128866.5</v>
      </c>
      <c r="H39" s="13">
        <v>0</v>
      </c>
      <c r="I39" s="14">
        <v>0</v>
      </c>
      <c r="J39" s="13">
        <f t="shared" si="15"/>
        <v>2128866.5</v>
      </c>
      <c r="K39" s="13">
        <f t="shared" si="16"/>
        <v>1627749.8800000004</v>
      </c>
    </row>
    <row r="40" spans="1:11">
      <c r="A40" s="12">
        <v>1522</v>
      </c>
      <c r="B40" s="12" t="s">
        <v>164</v>
      </c>
      <c r="C40" s="13">
        <v>0</v>
      </c>
      <c r="D40" s="13">
        <v>1716814.89</v>
      </c>
      <c r="E40" s="13">
        <v>0</v>
      </c>
      <c r="F40" s="14">
        <f t="shared" si="4"/>
        <v>1716814.89</v>
      </c>
      <c r="G40" s="13">
        <v>1716814.89</v>
      </c>
      <c r="H40" s="13">
        <v>0</v>
      </c>
      <c r="I40" s="14">
        <v>0</v>
      </c>
      <c r="J40" s="13">
        <f t="shared" si="15"/>
        <v>1716814.89</v>
      </c>
      <c r="K40" s="13">
        <f t="shared" si="16"/>
        <v>0</v>
      </c>
    </row>
    <row r="41" spans="1:11">
      <c r="A41" s="12">
        <v>1530</v>
      </c>
      <c r="B41" s="12" t="s">
        <v>83</v>
      </c>
      <c r="C41" s="13">
        <v>0</v>
      </c>
      <c r="D41" s="13">
        <v>0</v>
      </c>
      <c r="E41" s="13">
        <v>0</v>
      </c>
      <c r="F41" s="14">
        <f t="shared" si="4"/>
        <v>0</v>
      </c>
      <c r="G41" s="13">
        <v>0</v>
      </c>
      <c r="H41" s="13">
        <v>0</v>
      </c>
      <c r="I41" s="14">
        <v>0</v>
      </c>
      <c r="J41" s="13">
        <f t="shared" si="15"/>
        <v>0</v>
      </c>
      <c r="K41" s="13">
        <f t="shared" si="16"/>
        <v>0</v>
      </c>
    </row>
    <row r="42" spans="1:11">
      <c r="A42" s="12">
        <v>1531</v>
      </c>
      <c r="B42" s="12" t="s">
        <v>26</v>
      </c>
      <c r="C42" s="13">
        <v>0</v>
      </c>
      <c r="D42" s="13">
        <v>204000</v>
      </c>
      <c r="E42" s="13">
        <v>0</v>
      </c>
      <c r="F42" s="14">
        <f t="shared" si="4"/>
        <v>204000</v>
      </c>
      <c r="G42" s="13">
        <v>204000</v>
      </c>
      <c r="H42" s="13">
        <v>0</v>
      </c>
      <c r="I42" s="14">
        <v>0</v>
      </c>
      <c r="J42" s="13">
        <f t="shared" si="15"/>
        <v>204000</v>
      </c>
      <c r="K42" s="13">
        <f t="shared" si="16"/>
        <v>0</v>
      </c>
    </row>
    <row r="43" spans="1:11">
      <c r="A43" s="12">
        <v>1540</v>
      </c>
      <c r="B43" s="12" t="s">
        <v>84</v>
      </c>
      <c r="C43" s="13">
        <v>0</v>
      </c>
      <c r="D43" s="13">
        <v>0</v>
      </c>
      <c r="E43" s="13">
        <v>0</v>
      </c>
      <c r="F43" s="14">
        <f t="shared" si="4"/>
        <v>0</v>
      </c>
      <c r="G43" s="13">
        <v>0</v>
      </c>
      <c r="H43" s="13">
        <v>0</v>
      </c>
      <c r="I43" s="14">
        <v>0</v>
      </c>
      <c r="J43" s="13">
        <f t="shared" si="15"/>
        <v>0</v>
      </c>
      <c r="K43" s="13">
        <f t="shared" si="16"/>
        <v>0</v>
      </c>
    </row>
    <row r="44" spans="1:11">
      <c r="A44" s="15">
        <v>1541</v>
      </c>
      <c r="B44" s="15" t="s">
        <v>24</v>
      </c>
      <c r="C44" s="16">
        <v>676867</v>
      </c>
      <c r="D44" s="13">
        <v>11434.65</v>
      </c>
      <c r="E44" s="13">
        <f>46223.9+4840.85+11684.62</f>
        <v>62749.37</v>
      </c>
      <c r="F44" s="14">
        <f t="shared" si="4"/>
        <v>625552.28</v>
      </c>
      <c r="G44" s="13">
        <v>302744</v>
      </c>
      <c r="H44" s="13">
        <v>0</v>
      </c>
      <c r="I44" s="17">
        <v>0</v>
      </c>
      <c r="J44" s="13">
        <f t="shared" si="15"/>
        <v>302744</v>
      </c>
      <c r="K44" s="13">
        <f t="shared" si="16"/>
        <v>322808.28000000003</v>
      </c>
    </row>
    <row r="45" spans="1:11">
      <c r="A45" s="12">
        <v>1542</v>
      </c>
      <c r="B45" s="12" t="s">
        <v>85</v>
      </c>
      <c r="C45" s="13">
        <v>561377</v>
      </c>
      <c r="D45" s="13">
        <f>537847.02+141.47</f>
        <v>537988.49</v>
      </c>
      <c r="E45" s="13">
        <v>304097.25999999995</v>
      </c>
      <c r="F45" s="14">
        <f t="shared" si="4"/>
        <v>795268.23</v>
      </c>
      <c r="G45" s="13">
        <v>778426.91999999993</v>
      </c>
      <c r="H45" s="13">
        <v>0</v>
      </c>
      <c r="I45" s="14">
        <v>0</v>
      </c>
      <c r="J45" s="13">
        <f t="shared" si="15"/>
        <v>778426.91999999993</v>
      </c>
      <c r="K45" s="13">
        <f t="shared" si="16"/>
        <v>16841.310000000056</v>
      </c>
    </row>
    <row r="46" spans="1:11">
      <c r="A46" s="12">
        <v>1546</v>
      </c>
      <c r="B46" s="12" t="s">
        <v>27</v>
      </c>
      <c r="C46" s="13">
        <v>2645238</v>
      </c>
      <c r="D46" s="13">
        <v>1345208.5399999998</v>
      </c>
      <c r="E46" s="13">
        <v>376148.01</v>
      </c>
      <c r="F46" s="14">
        <f t="shared" si="4"/>
        <v>3614298.5300000003</v>
      </c>
      <c r="G46" s="13">
        <v>2397173.4400000004</v>
      </c>
      <c r="H46" s="13">
        <v>80506.320000000007</v>
      </c>
      <c r="I46" s="13">
        <v>11550</v>
      </c>
      <c r="J46" s="13">
        <f t="shared" si="15"/>
        <v>2489229.7600000002</v>
      </c>
      <c r="K46" s="13">
        <f t="shared" si="16"/>
        <v>1125068.77</v>
      </c>
    </row>
    <row r="47" spans="1:11">
      <c r="A47" s="12">
        <v>1560</v>
      </c>
      <c r="B47" s="12" t="s">
        <v>86</v>
      </c>
      <c r="C47" s="13">
        <v>0</v>
      </c>
      <c r="D47" s="13">
        <v>0</v>
      </c>
      <c r="E47" s="13">
        <v>0</v>
      </c>
      <c r="F47" s="14">
        <f t="shared" si="4"/>
        <v>0</v>
      </c>
      <c r="G47" s="13">
        <v>0</v>
      </c>
      <c r="H47" s="13">
        <v>0</v>
      </c>
      <c r="I47" s="14">
        <v>0</v>
      </c>
      <c r="J47" s="13">
        <f t="shared" si="15"/>
        <v>0</v>
      </c>
      <c r="K47" s="13">
        <f t="shared" si="16"/>
        <v>0</v>
      </c>
    </row>
    <row r="48" spans="1:11">
      <c r="A48" s="12">
        <v>1565</v>
      </c>
      <c r="B48" s="12" t="s">
        <v>22</v>
      </c>
      <c r="C48" s="13">
        <v>2946936</v>
      </c>
      <c r="D48" s="13">
        <v>8442.48</v>
      </c>
      <c r="E48" s="13">
        <f>55935.31+8239.06</f>
        <v>64174.369999999995</v>
      </c>
      <c r="F48" s="14">
        <f t="shared" si="4"/>
        <v>2891204.11</v>
      </c>
      <c r="G48" s="13">
        <v>1603503.6700000002</v>
      </c>
      <c r="H48" s="13">
        <v>0</v>
      </c>
      <c r="I48" s="14">
        <v>0</v>
      </c>
      <c r="J48" s="13">
        <f t="shared" si="15"/>
        <v>1603503.6700000002</v>
      </c>
      <c r="K48" s="13">
        <f t="shared" si="16"/>
        <v>1287700.4399999997</v>
      </c>
    </row>
    <row r="49" spans="1:12">
      <c r="A49" s="12">
        <v>1700</v>
      </c>
      <c r="B49" s="12" t="s">
        <v>87</v>
      </c>
      <c r="C49" s="13">
        <f>SUM(C50:C51)</f>
        <v>4118090</v>
      </c>
      <c r="D49" s="13">
        <f t="shared" ref="D49:J49" si="17">SUM(D50:D51)</f>
        <v>591150.73</v>
      </c>
      <c r="E49" s="13">
        <f t="shared" si="17"/>
        <v>738685.12000000011</v>
      </c>
      <c r="F49" s="13">
        <f t="shared" si="17"/>
        <v>3970555.6100000003</v>
      </c>
      <c r="G49" s="13">
        <f t="shared" si="17"/>
        <v>3178457.87</v>
      </c>
      <c r="H49" s="13">
        <f t="shared" si="17"/>
        <v>0</v>
      </c>
      <c r="I49" s="13">
        <f t="shared" si="17"/>
        <v>0</v>
      </c>
      <c r="J49" s="13">
        <f t="shared" si="17"/>
        <v>3178457.87</v>
      </c>
      <c r="K49" s="13">
        <f t="shared" ref="D49:K49" si="18">SUM(K50:K51)</f>
        <v>792097.74000000022</v>
      </c>
    </row>
    <row r="50" spans="1:12">
      <c r="A50" s="12">
        <v>1710</v>
      </c>
      <c r="B50" s="12" t="s">
        <v>88</v>
      </c>
      <c r="C50" s="13">
        <v>0</v>
      </c>
      <c r="D50" s="13">
        <v>0</v>
      </c>
      <c r="E50" s="13">
        <v>0</v>
      </c>
      <c r="F50" s="14">
        <f t="shared" si="4"/>
        <v>0</v>
      </c>
      <c r="G50" s="13">
        <v>0</v>
      </c>
      <c r="H50" s="13">
        <v>0</v>
      </c>
      <c r="I50" s="14">
        <v>0</v>
      </c>
      <c r="J50" s="13">
        <f>+G50+H50+I50</f>
        <v>0</v>
      </c>
      <c r="K50" s="13">
        <f>+F50-J50</f>
        <v>0</v>
      </c>
    </row>
    <row r="51" spans="1:12">
      <c r="A51" s="12">
        <v>1712</v>
      </c>
      <c r="B51" s="12" t="s">
        <v>21</v>
      </c>
      <c r="C51" s="13">
        <v>4118090</v>
      </c>
      <c r="D51" s="13">
        <v>591150.73</v>
      </c>
      <c r="E51" s="13">
        <f>364695.96+22452.15+44672.38+22336.19+145073.36+103817.16+35637.92</f>
        <v>738685.12000000011</v>
      </c>
      <c r="F51" s="14">
        <f t="shared" si="4"/>
        <v>3970555.6100000003</v>
      </c>
      <c r="G51" s="13">
        <v>3178457.87</v>
      </c>
      <c r="H51" s="13">
        <v>0</v>
      </c>
      <c r="I51" s="14">
        <v>0</v>
      </c>
      <c r="J51" s="13">
        <f>+G51+H51+I51</f>
        <v>3178457.87</v>
      </c>
      <c r="K51" s="13">
        <f>+F51-J51</f>
        <v>792097.74000000022</v>
      </c>
    </row>
    <row r="52" spans="1:12">
      <c r="A52" s="12">
        <v>1800</v>
      </c>
      <c r="B52" s="12" t="s">
        <v>89</v>
      </c>
      <c r="C52" s="13">
        <f>SUM(C53:C54)</f>
        <v>3372976</v>
      </c>
      <c r="D52" s="13">
        <f t="shared" ref="D52:I52" si="19">SUM(D53:D54)</f>
        <v>96566.33</v>
      </c>
      <c r="E52" s="13">
        <f t="shared" si="19"/>
        <v>0</v>
      </c>
      <c r="F52" s="13">
        <f t="shared" si="19"/>
        <v>3469542.33</v>
      </c>
      <c r="G52" s="13">
        <f t="shared" si="19"/>
        <v>3368353.05</v>
      </c>
      <c r="H52" s="13">
        <f t="shared" si="19"/>
        <v>0</v>
      </c>
      <c r="I52" s="13">
        <f t="shared" si="19"/>
        <v>0</v>
      </c>
      <c r="J52" s="13">
        <f t="shared" ref="D52:K52" si="20">SUM(J53:J54)</f>
        <v>3368353.05</v>
      </c>
      <c r="K52" s="13">
        <f t="shared" si="20"/>
        <v>101189.28000000026</v>
      </c>
    </row>
    <row r="53" spans="1:12">
      <c r="A53" s="12">
        <v>1810</v>
      </c>
      <c r="B53" s="12" t="s">
        <v>90</v>
      </c>
      <c r="C53" s="13">
        <v>0</v>
      </c>
      <c r="D53" s="13">
        <v>0</v>
      </c>
      <c r="E53" s="13">
        <v>0</v>
      </c>
      <c r="F53" s="14">
        <f t="shared" si="4"/>
        <v>0</v>
      </c>
      <c r="G53" s="13">
        <v>0</v>
      </c>
      <c r="H53" s="13">
        <v>0</v>
      </c>
      <c r="I53" s="14">
        <v>0</v>
      </c>
      <c r="J53" s="13">
        <f>+G53+H53+I53</f>
        <v>0</v>
      </c>
      <c r="K53" s="13">
        <f>+F53-J53</f>
        <v>0</v>
      </c>
    </row>
    <row r="54" spans="1:12">
      <c r="A54" s="12">
        <v>1811</v>
      </c>
      <c r="B54" s="12" t="s">
        <v>16</v>
      </c>
      <c r="C54" s="13">
        <v>3372976</v>
      </c>
      <c r="D54" s="13">
        <v>96566.33</v>
      </c>
      <c r="E54" s="13">
        <v>0</v>
      </c>
      <c r="F54" s="14">
        <f t="shared" si="4"/>
        <v>3469542.33</v>
      </c>
      <c r="G54" s="13">
        <v>3368353.05</v>
      </c>
      <c r="H54" s="13">
        <v>0</v>
      </c>
      <c r="I54" s="14">
        <v>0</v>
      </c>
      <c r="J54" s="13">
        <f>+G54+H54+I54</f>
        <v>3368353.05</v>
      </c>
      <c r="K54" s="13">
        <f>+F54-J54</f>
        <v>101189.28000000026</v>
      </c>
    </row>
    <row r="55" spans="1:12">
      <c r="A55" s="12">
        <v>2000</v>
      </c>
      <c r="B55" s="12" t="s">
        <v>91</v>
      </c>
      <c r="C55" s="13">
        <f>+C56+C66+C69+C78+C83+C86+C90</f>
        <v>7413862</v>
      </c>
      <c r="D55" s="13">
        <f t="shared" ref="D55:I55" si="21">+D56+D66+D69+D78+D83+D86+D90</f>
        <v>413818.14</v>
      </c>
      <c r="E55" s="13">
        <f t="shared" si="21"/>
        <v>413818.14</v>
      </c>
      <c r="F55" s="13">
        <f t="shared" si="21"/>
        <v>7413862</v>
      </c>
      <c r="G55" s="13">
        <f t="shared" si="21"/>
        <v>2007480.99</v>
      </c>
      <c r="H55" s="13">
        <f t="shared" si="21"/>
        <v>988068.79</v>
      </c>
      <c r="I55" s="13">
        <f t="shared" si="21"/>
        <v>0</v>
      </c>
      <c r="J55" s="13">
        <f t="shared" ref="D55:K55" si="22">+J56+J66+J69+J78+J83+J86+J90</f>
        <v>2995549.7800000003</v>
      </c>
      <c r="K55" s="13">
        <f t="shared" si="22"/>
        <v>4418312.22</v>
      </c>
      <c r="L55" s="20"/>
    </row>
    <row r="56" spans="1:12">
      <c r="A56" s="12">
        <v>2100</v>
      </c>
      <c r="B56" s="12" t="s">
        <v>92</v>
      </c>
      <c r="C56" s="13">
        <f>SUM(C57:C65)</f>
        <v>4159674</v>
      </c>
      <c r="D56" s="13">
        <f t="shared" ref="D56:I56" si="23">SUM(D57:D65)</f>
        <v>341682.21</v>
      </c>
      <c r="E56" s="13">
        <f t="shared" si="23"/>
        <v>518.95000000000005</v>
      </c>
      <c r="F56" s="13">
        <f t="shared" si="23"/>
        <v>4500837.26</v>
      </c>
      <c r="G56" s="13">
        <f t="shared" si="23"/>
        <v>849079.84000000008</v>
      </c>
      <c r="H56" s="13">
        <f t="shared" si="23"/>
        <v>943148.3</v>
      </c>
      <c r="I56" s="13">
        <f t="shared" si="23"/>
        <v>0</v>
      </c>
      <c r="J56" s="13">
        <f t="shared" ref="D56:K56" si="24">SUM(J57:J65)</f>
        <v>1792228.1400000001</v>
      </c>
      <c r="K56" s="13">
        <f t="shared" si="24"/>
        <v>2708609.1199999996</v>
      </c>
    </row>
    <row r="57" spans="1:12">
      <c r="A57" s="12">
        <v>2110</v>
      </c>
      <c r="B57" s="12" t="s">
        <v>93</v>
      </c>
      <c r="C57" s="13">
        <v>0</v>
      </c>
      <c r="D57" s="13">
        <v>0</v>
      </c>
      <c r="E57" s="13">
        <v>0</v>
      </c>
      <c r="F57" s="14">
        <f t="shared" si="4"/>
        <v>0</v>
      </c>
      <c r="G57" s="13">
        <v>0</v>
      </c>
      <c r="H57" s="13">
        <v>0</v>
      </c>
      <c r="I57" s="13">
        <v>0</v>
      </c>
      <c r="J57" s="13">
        <f t="shared" ref="J57:J65" si="25">+G57+H57+I57</f>
        <v>0</v>
      </c>
      <c r="K57" s="13">
        <f t="shared" ref="K57:K65" si="26">+F57-J57</f>
        <v>0</v>
      </c>
    </row>
    <row r="58" spans="1:12">
      <c r="A58" s="12">
        <v>2111</v>
      </c>
      <c r="B58" s="12" t="s">
        <v>29</v>
      </c>
      <c r="C58" s="13">
        <v>1480844</v>
      </c>
      <c r="D58" s="13">
        <v>108225.57</v>
      </c>
      <c r="E58" s="13">
        <v>0</v>
      </c>
      <c r="F58" s="14">
        <f t="shared" si="4"/>
        <v>1589069.57</v>
      </c>
      <c r="G58" s="13">
        <v>734794.93</v>
      </c>
      <c r="H58" s="13">
        <v>5869.6</v>
      </c>
      <c r="I58" s="13">
        <v>0</v>
      </c>
      <c r="J58" s="13">
        <f t="shared" si="25"/>
        <v>740664.53</v>
      </c>
      <c r="K58" s="13">
        <f t="shared" si="26"/>
        <v>848405.04</v>
      </c>
    </row>
    <row r="59" spans="1:12">
      <c r="A59" s="12">
        <v>2140</v>
      </c>
      <c r="B59" s="12" t="s">
        <v>94</v>
      </c>
      <c r="C59" s="13">
        <v>0</v>
      </c>
      <c r="D59" s="13">
        <v>0</v>
      </c>
      <c r="E59" s="13">
        <v>0</v>
      </c>
      <c r="F59" s="14">
        <f t="shared" si="4"/>
        <v>0</v>
      </c>
      <c r="G59" s="13">
        <v>0</v>
      </c>
      <c r="H59" s="13">
        <v>0</v>
      </c>
      <c r="I59" s="13">
        <v>0</v>
      </c>
      <c r="J59" s="13">
        <f t="shared" si="25"/>
        <v>0</v>
      </c>
      <c r="K59" s="13">
        <f t="shared" si="26"/>
        <v>0</v>
      </c>
    </row>
    <row r="60" spans="1:12">
      <c r="A60" s="12">
        <v>2141</v>
      </c>
      <c r="B60" s="12" t="s">
        <v>31</v>
      </c>
      <c r="C60" s="13">
        <v>2435950</v>
      </c>
      <c r="D60" s="13">
        <v>191253.11</v>
      </c>
      <c r="E60" s="13">
        <v>0</v>
      </c>
      <c r="F60" s="14">
        <f t="shared" si="4"/>
        <v>2627203.11</v>
      </c>
      <c r="G60" s="13">
        <v>7285.38</v>
      </c>
      <c r="H60" s="13">
        <v>937278.70000000007</v>
      </c>
      <c r="I60" s="13">
        <v>0</v>
      </c>
      <c r="J60" s="13">
        <f t="shared" si="25"/>
        <v>944564.08000000007</v>
      </c>
      <c r="K60" s="13">
        <f t="shared" si="26"/>
        <v>1682639.0299999998</v>
      </c>
    </row>
    <row r="61" spans="1:12">
      <c r="A61" s="12">
        <v>2150</v>
      </c>
      <c r="B61" s="12" t="s">
        <v>95</v>
      </c>
      <c r="C61" s="13">
        <v>0</v>
      </c>
      <c r="D61" s="13">
        <v>0</v>
      </c>
      <c r="E61" s="13">
        <v>0</v>
      </c>
      <c r="F61" s="14">
        <f t="shared" si="4"/>
        <v>0</v>
      </c>
      <c r="G61" s="13">
        <v>0</v>
      </c>
      <c r="H61" s="13">
        <v>0</v>
      </c>
      <c r="I61" s="13">
        <v>0</v>
      </c>
      <c r="J61" s="13">
        <f t="shared" si="25"/>
        <v>0</v>
      </c>
      <c r="K61" s="13">
        <f t="shared" si="26"/>
        <v>0</v>
      </c>
    </row>
    <row r="62" spans="1:12">
      <c r="A62" s="12">
        <v>2151</v>
      </c>
      <c r="B62" s="12" t="s">
        <v>32</v>
      </c>
      <c r="C62" s="13">
        <v>2412</v>
      </c>
      <c r="D62" s="13">
        <f>178+312.01</f>
        <v>490.01</v>
      </c>
      <c r="E62" s="13">
        <v>0</v>
      </c>
      <c r="F62" s="14">
        <f t="shared" si="4"/>
        <v>2902.01</v>
      </c>
      <c r="G62" s="13">
        <v>490.01</v>
      </c>
      <c r="H62" s="13">
        <v>0</v>
      </c>
      <c r="I62" s="13">
        <v>0</v>
      </c>
      <c r="J62" s="13">
        <f t="shared" si="25"/>
        <v>490.01</v>
      </c>
      <c r="K62" s="13">
        <f t="shared" si="26"/>
        <v>2412</v>
      </c>
    </row>
    <row r="63" spans="1:12">
      <c r="A63" s="12">
        <v>2152</v>
      </c>
      <c r="B63" s="12" t="s">
        <v>33</v>
      </c>
      <c r="C63" s="13">
        <v>38930</v>
      </c>
      <c r="D63" s="13">
        <v>70</v>
      </c>
      <c r="E63" s="13">
        <v>0</v>
      </c>
      <c r="F63" s="14">
        <f t="shared" si="4"/>
        <v>39000</v>
      </c>
      <c r="G63" s="13">
        <v>70</v>
      </c>
      <c r="H63" s="13">
        <v>0</v>
      </c>
      <c r="I63" s="13">
        <v>0</v>
      </c>
      <c r="J63" s="13">
        <f t="shared" si="25"/>
        <v>70</v>
      </c>
      <c r="K63" s="13">
        <f t="shared" si="26"/>
        <v>38930</v>
      </c>
    </row>
    <row r="64" spans="1:12">
      <c r="A64" s="12">
        <v>2160</v>
      </c>
      <c r="B64" s="12" t="s">
        <v>30</v>
      </c>
      <c r="C64" s="13">
        <v>0</v>
      </c>
      <c r="D64" s="13">
        <v>0</v>
      </c>
      <c r="E64" s="13">
        <v>0</v>
      </c>
      <c r="F64" s="14">
        <f t="shared" si="4"/>
        <v>0</v>
      </c>
      <c r="G64" s="13">
        <v>0</v>
      </c>
      <c r="H64" s="13">
        <v>0</v>
      </c>
      <c r="I64" s="13">
        <v>0</v>
      </c>
      <c r="J64" s="13">
        <f t="shared" si="25"/>
        <v>0</v>
      </c>
      <c r="K64" s="13">
        <f t="shared" si="26"/>
        <v>0</v>
      </c>
    </row>
    <row r="65" spans="1:11">
      <c r="A65" s="12">
        <v>2161</v>
      </c>
      <c r="B65" s="12" t="s">
        <v>96</v>
      </c>
      <c r="C65" s="13">
        <v>201538</v>
      </c>
      <c r="D65" s="13">
        <v>41643.519999999997</v>
      </c>
      <c r="E65" s="13">
        <v>518.95000000000005</v>
      </c>
      <c r="F65" s="14">
        <f t="shared" si="4"/>
        <v>242662.56999999998</v>
      </c>
      <c r="G65" s="13">
        <v>106439.52</v>
      </c>
      <c r="H65" s="13">
        <v>0</v>
      </c>
      <c r="I65" s="13">
        <v>0</v>
      </c>
      <c r="J65" s="13">
        <f t="shared" si="25"/>
        <v>106439.52</v>
      </c>
      <c r="K65" s="13">
        <f t="shared" si="26"/>
        <v>136223.04999999999</v>
      </c>
    </row>
    <row r="66" spans="1:11">
      <c r="A66" s="12">
        <v>2200</v>
      </c>
      <c r="B66" s="12" t="s">
        <v>97</v>
      </c>
      <c r="C66" s="13">
        <f>SUM(C67:C68)</f>
        <v>2441</v>
      </c>
      <c r="D66" s="13">
        <f t="shared" ref="D66:I66" si="27">SUM(D67:D68)</f>
        <v>0</v>
      </c>
      <c r="E66" s="13">
        <f t="shared" si="27"/>
        <v>0</v>
      </c>
      <c r="F66" s="13">
        <f t="shared" si="27"/>
        <v>2441</v>
      </c>
      <c r="G66" s="13">
        <f t="shared" si="27"/>
        <v>0</v>
      </c>
      <c r="H66" s="13">
        <f t="shared" si="27"/>
        <v>0</v>
      </c>
      <c r="I66" s="13">
        <f t="shared" si="27"/>
        <v>0</v>
      </c>
      <c r="J66" s="13">
        <f t="shared" ref="D66:K66" si="28">SUM(J67:J68)</f>
        <v>0</v>
      </c>
      <c r="K66" s="13">
        <f t="shared" si="28"/>
        <v>2441</v>
      </c>
    </row>
    <row r="67" spans="1:11">
      <c r="A67" s="12">
        <v>2230</v>
      </c>
      <c r="B67" s="12" t="s">
        <v>35</v>
      </c>
      <c r="C67" s="13">
        <v>0</v>
      </c>
      <c r="D67" s="13">
        <v>0</v>
      </c>
      <c r="E67" s="13">
        <v>0</v>
      </c>
      <c r="F67" s="14">
        <f t="shared" si="4"/>
        <v>0</v>
      </c>
      <c r="G67" s="13">
        <v>0</v>
      </c>
      <c r="H67" s="13">
        <v>0</v>
      </c>
      <c r="I67" s="13">
        <v>0</v>
      </c>
      <c r="J67" s="13">
        <f>+G67+H67+I67</f>
        <v>0</v>
      </c>
      <c r="K67" s="13">
        <f>+F67-J67</f>
        <v>0</v>
      </c>
    </row>
    <row r="68" spans="1:11">
      <c r="A68" s="12">
        <v>2231</v>
      </c>
      <c r="B68" s="12" t="s">
        <v>35</v>
      </c>
      <c r="C68" s="13">
        <v>2441</v>
      </c>
      <c r="D68" s="13">
        <v>0</v>
      </c>
      <c r="E68" s="13">
        <v>0</v>
      </c>
      <c r="F68" s="14">
        <f t="shared" si="4"/>
        <v>2441</v>
      </c>
      <c r="G68" s="13">
        <v>0</v>
      </c>
      <c r="H68" s="13">
        <v>0</v>
      </c>
      <c r="I68" s="13">
        <v>0</v>
      </c>
      <c r="J68" s="13">
        <f>+G68+H68+I68</f>
        <v>0</v>
      </c>
      <c r="K68" s="13">
        <f>+F68-J68</f>
        <v>2441</v>
      </c>
    </row>
    <row r="69" spans="1:11">
      <c r="A69" s="12">
        <v>2400</v>
      </c>
      <c r="B69" s="12" t="s">
        <v>98</v>
      </c>
      <c r="C69" s="13">
        <f>SUM(C70:C77)</f>
        <v>70875</v>
      </c>
      <c r="D69" s="13">
        <f t="shared" ref="D69:I69" si="29">SUM(D70:D77)</f>
        <v>55660.74</v>
      </c>
      <c r="E69" s="13">
        <f t="shared" si="29"/>
        <v>0</v>
      </c>
      <c r="F69" s="13">
        <f t="shared" si="29"/>
        <v>126535.73999999999</v>
      </c>
      <c r="G69" s="13">
        <f t="shared" si="29"/>
        <v>52438.849999999991</v>
      </c>
      <c r="H69" s="13">
        <f t="shared" si="29"/>
        <v>20400</v>
      </c>
      <c r="I69" s="13">
        <f t="shared" si="29"/>
        <v>0</v>
      </c>
      <c r="J69" s="13">
        <f t="shared" ref="D69:K69" si="30">SUM(J70:J77)</f>
        <v>72838.850000000006</v>
      </c>
      <c r="K69" s="13">
        <f t="shared" si="30"/>
        <v>53696.89</v>
      </c>
    </row>
    <row r="70" spans="1:11">
      <c r="A70" s="12">
        <v>2460</v>
      </c>
      <c r="B70" s="12" t="s">
        <v>40</v>
      </c>
      <c r="C70" s="13">
        <v>0</v>
      </c>
      <c r="D70" s="13">
        <v>0</v>
      </c>
      <c r="E70" s="13">
        <v>0</v>
      </c>
      <c r="F70" s="14">
        <f t="shared" si="4"/>
        <v>0</v>
      </c>
      <c r="G70" s="13">
        <v>0</v>
      </c>
      <c r="H70" s="13">
        <v>0</v>
      </c>
      <c r="I70" s="13">
        <v>0</v>
      </c>
      <c r="J70" s="13">
        <f t="shared" ref="J70:J77" si="31">+G70+H70+I70</f>
        <v>0</v>
      </c>
      <c r="K70" s="13">
        <f t="shared" ref="K70:K77" si="32">+F70-J70</f>
        <v>0</v>
      </c>
    </row>
    <row r="71" spans="1:11">
      <c r="A71" s="12">
        <v>2461</v>
      </c>
      <c r="B71" s="12" t="s">
        <v>40</v>
      </c>
      <c r="C71" s="13">
        <v>32754</v>
      </c>
      <c r="D71" s="13">
        <f>41651.09+3357.42</f>
        <v>45008.509999999995</v>
      </c>
      <c r="E71" s="13">
        <v>0</v>
      </c>
      <c r="F71" s="14">
        <f t="shared" si="4"/>
        <v>77762.509999999995</v>
      </c>
      <c r="G71" s="13">
        <v>39435.17</v>
      </c>
      <c r="H71" s="13">
        <v>18242.400000000001</v>
      </c>
      <c r="I71" s="13">
        <v>0</v>
      </c>
      <c r="J71" s="13">
        <f t="shared" si="31"/>
        <v>57677.57</v>
      </c>
      <c r="K71" s="13">
        <f t="shared" si="32"/>
        <v>20084.939999999995</v>
      </c>
    </row>
    <row r="72" spans="1:11">
      <c r="A72" s="12">
        <v>2481</v>
      </c>
      <c r="B72" s="12" t="s">
        <v>39</v>
      </c>
      <c r="C72" s="13">
        <v>0</v>
      </c>
      <c r="D72" s="13">
        <f>2861.19+79.04</f>
        <v>2940.23</v>
      </c>
      <c r="E72" s="13">
        <v>0</v>
      </c>
      <c r="F72" s="14">
        <f t="shared" si="4"/>
        <v>2940.23</v>
      </c>
      <c r="G72" s="13">
        <v>782.63</v>
      </c>
      <c r="H72" s="13">
        <v>2157.6</v>
      </c>
      <c r="I72" s="13">
        <v>0</v>
      </c>
      <c r="J72" s="13">
        <f t="shared" si="31"/>
        <v>2940.23</v>
      </c>
      <c r="K72" s="13">
        <f t="shared" si="32"/>
        <v>0</v>
      </c>
    </row>
    <row r="73" spans="1:11">
      <c r="A73" s="12">
        <v>2482</v>
      </c>
      <c r="B73" s="12" t="s">
        <v>41</v>
      </c>
      <c r="C73" s="13">
        <v>11394</v>
      </c>
      <c r="D73" s="13">
        <v>0</v>
      </c>
      <c r="E73" s="13">
        <v>0</v>
      </c>
      <c r="F73" s="14">
        <f t="shared" si="4"/>
        <v>11394</v>
      </c>
      <c r="G73" s="13">
        <v>2652.92</v>
      </c>
      <c r="H73" s="13">
        <v>0</v>
      </c>
      <c r="I73" s="13">
        <v>0</v>
      </c>
      <c r="J73" s="13">
        <f t="shared" si="31"/>
        <v>2652.92</v>
      </c>
      <c r="K73" s="13">
        <f t="shared" si="32"/>
        <v>8741.08</v>
      </c>
    </row>
    <row r="74" spans="1:11">
      <c r="A74" s="12">
        <v>2483</v>
      </c>
      <c r="B74" s="12" t="s">
        <v>99</v>
      </c>
      <c r="C74" s="13">
        <v>3516</v>
      </c>
      <c r="D74" s="13">
        <v>0</v>
      </c>
      <c r="E74" s="13">
        <v>0</v>
      </c>
      <c r="F74" s="14">
        <f t="shared" si="4"/>
        <v>3516</v>
      </c>
      <c r="G74" s="13">
        <v>0</v>
      </c>
      <c r="H74" s="13">
        <v>0</v>
      </c>
      <c r="I74" s="13">
        <v>0</v>
      </c>
      <c r="J74" s="13">
        <f t="shared" si="31"/>
        <v>0</v>
      </c>
      <c r="K74" s="13">
        <f t="shared" si="32"/>
        <v>3516</v>
      </c>
    </row>
    <row r="75" spans="1:11">
      <c r="A75" s="12">
        <v>2490</v>
      </c>
      <c r="B75" s="12" t="s">
        <v>100</v>
      </c>
      <c r="C75" s="13">
        <v>0</v>
      </c>
      <c r="D75" s="13">
        <v>0</v>
      </c>
      <c r="E75" s="13">
        <v>0</v>
      </c>
      <c r="F75" s="14">
        <f t="shared" si="4"/>
        <v>0</v>
      </c>
      <c r="G75" s="13">
        <v>0</v>
      </c>
      <c r="H75" s="13">
        <v>0</v>
      </c>
      <c r="I75" s="13">
        <v>0</v>
      </c>
      <c r="J75" s="13">
        <f t="shared" si="31"/>
        <v>0</v>
      </c>
      <c r="K75" s="13">
        <f t="shared" si="32"/>
        <v>0</v>
      </c>
    </row>
    <row r="76" spans="1:11">
      <c r="A76" s="15">
        <v>2491</v>
      </c>
      <c r="B76" s="15" t="s">
        <v>37</v>
      </c>
      <c r="C76" s="16">
        <v>21630</v>
      </c>
      <c r="D76" s="13">
        <v>2512</v>
      </c>
      <c r="E76" s="13">
        <v>0</v>
      </c>
      <c r="F76" s="14">
        <f t="shared" ref="F76:F141" si="33">+C76+D76-E76</f>
        <v>24142</v>
      </c>
      <c r="G76" s="13">
        <v>4368.13</v>
      </c>
      <c r="H76" s="13">
        <v>0</v>
      </c>
      <c r="I76" s="13">
        <v>0</v>
      </c>
      <c r="J76" s="13">
        <f t="shared" si="31"/>
        <v>4368.13</v>
      </c>
      <c r="K76" s="13">
        <f t="shared" si="32"/>
        <v>19773.87</v>
      </c>
    </row>
    <row r="77" spans="1:11">
      <c r="A77" s="12">
        <v>2492</v>
      </c>
      <c r="B77" s="12" t="s">
        <v>38</v>
      </c>
      <c r="C77" s="13">
        <v>1581</v>
      </c>
      <c r="D77" s="13">
        <v>5200</v>
      </c>
      <c r="E77" s="13">
        <v>0</v>
      </c>
      <c r="F77" s="14">
        <f t="shared" si="33"/>
        <v>6781</v>
      </c>
      <c r="G77" s="13">
        <v>5200</v>
      </c>
      <c r="H77" s="13">
        <v>0</v>
      </c>
      <c r="I77" s="13">
        <v>0</v>
      </c>
      <c r="J77" s="13">
        <f t="shared" si="31"/>
        <v>5200</v>
      </c>
      <c r="K77" s="13">
        <f t="shared" si="32"/>
        <v>1581</v>
      </c>
    </row>
    <row r="78" spans="1:11">
      <c r="A78" s="12">
        <v>2500</v>
      </c>
      <c r="B78" s="12" t="s">
        <v>101</v>
      </c>
      <c r="C78" s="13">
        <f>SUM(C79:C82)</f>
        <v>55542</v>
      </c>
      <c r="D78" s="13">
        <f t="shared" ref="D78:I78" si="34">SUM(D79:D82)</f>
        <v>0</v>
      </c>
      <c r="E78" s="13">
        <f t="shared" si="34"/>
        <v>14683.2</v>
      </c>
      <c r="F78" s="13">
        <f t="shared" si="34"/>
        <v>40858.800000000003</v>
      </c>
      <c r="G78" s="13">
        <f t="shared" si="34"/>
        <v>0</v>
      </c>
      <c r="H78" s="13">
        <f t="shared" si="34"/>
        <v>0</v>
      </c>
      <c r="I78" s="13">
        <f t="shared" si="34"/>
        <v>0</v>
      </c>
      <c r="J78" s="13">
        <f t="shared" ref="D78:K78" si="35">SUM(J79:J82)</f>
        <v>0</v>
      </c>
      <c r="K78" s="13">
        <f t="shared" si="35"/>
        <v>40858.800000000003</v>
      </c>
    </row>
    <row r="79" spans="1:11">
      <c r="A79" s="12">
        <v>2510</v>
      </c>
      <c r="B79" s="12" t="s">
        <v>102</v>
      </c>
      <c r="C79" s="13">
        <v>0</v>
      </c>
      <c r="D79" s="13">
        <v>0</v>
      </c>
      <c r="E79" s="13">
        <v>0</v>
      </c>
      <c r="F79" s="14">
        <f t="shared" si="33"/>
        <v>0</v>
      </c>
      <c r="G79" s="13">
        <v>0</v>
      </c>
      <c r="H79" s="13">
        <v>0</v>
      </c>
      <c r="I79" s="13">
        <v>0</v>
      </c>
      <c r="J79" s="13">
        <f>+G79+H79+I79</f>
        <v>0</v>
      </c>
      <c r="K79" s="13">
        <f>+F79-J79</f>
        <v>0</v>
      </c>
    </row>
    <row r="80" spans="1:11">
      <c r="A80" s="12">
        <v>2511</v>
      </c>
      <c r="B80" s="12" t="s">
        <v>42</v>
      </c>
      <c r="C80" s="13">
        <v>1529</v>
      </c>
      <c r="D80" s="13">
        <v>0</v>
      </c>
      <c r="E80" s="13">
        <v>0</v>
      </c>
      <c r="F80" s="14">
        <f t="shared" si="33"/>
        <v>1529</v>
      </c>
      <c r="G80" s="13">
        <v>0</v>
      </c>
      <c r="H80" s="13">
        <v>0</v>
      </c>
      <c r="I80" s="13">
        <v>0</v>
      </c>
      <c r="J80" s="13">
        <f>+G80+H80+I80</f>
        <v>0</v>
      </c>
      <c r="K80" s="13">
        <f>+F80-J80</f>
        <v>1529</v>
      </c>
    </row>
    <row r="81" spans="1:11">
      <c r="A81" s="12">
        <v>2530</v>
      </c>
      <c r="B81" s="12" t="s">
        <v>43</v>
      </c>
      <c r="C81" s="13">
        <v>0</v>
      </c>
      <c r="D81" s="13">
        <v>0</v>
      </c>
      <c r="E81" s="13">
        <v>0</v>
      </c>
      <c r="F81" s="14">
        <f t="shared" si="33"/>
        <v>0</v>
      </c>
      <c r="G81" s="13">
        <v>0</v>
      </c>
      <c r="H81" s="13">
        <v>0</v>
      </c>
      <c r="I81" s="13">
        <v>0</v>
      </c>
      <c r="J81" s="13">
        <f>+G81+H81+I81</f>
        <v>0</v>
      </c>
      <c r="K81" s="13">
        <f>+F81-J81</f>
        <v>0</v>
      </c>
    </row>
    <row r="82" spans="1:11">
      <c r="A82" s="12">
        <v>2531</v>
      </c>
      <c r="B82" s="12" t="s">
        <v>43</v>
      </c>
      <c r="C82" s="13">
        <v>54013</v>
      </c>
      <c r="D82" s="13">
        <v>0</v>
      </c>
      <c r="E82" s="13">
        <v>14683.2</v>
      </c>
      <c r="F82" s="14">
        <f t="shared" si="33"/>
        <v>39329.800000000003</v>
      </c>
      <c r="G82" s="13">
        <v>0</v>
      </c>
      <c r="H82" s="13">
        <v>0</v>
      </c>
      <c r="I82" s="13">
        <v>0</v>
      </c>
      <c r="J82" s="13">
        <f>+G82+H82+I82</f>
        <v>0</v>
      </c>
      <c r="K82" s="13">
        <f>+F82-J82</f>
        <v>39329.800000000003</v>
      </c>
    </row>
    <row r="83" spans="1:11">
      <c r="A83" s="12">
        <v>2600</v>
      </c>
      <c r="B83" s="12" t="s">
        <v>103</v>
      </c>
      <c r="C83" s="13">
        <f>SUM(C84:C85)</f>
        <v>3006347</v>
      </c>
      <c r="D83" s="13">
        <f t="shared" ref="D83:I83" si="36">SUM(D84:D85)</f>
        <v>0</v>
      </c>
      <c r="E83" s="13">
        <f t="shared" si="36"/>
        <v>398615.99</v>
      </c>
      <c r="F83" s="13">
        <f t="shared" si="36"/>
        <v>2607731.0099999998</v>
      </c>
      <c r="G83" s="13">
        <f t="shared" si="36"/>
        <v>1099682.0399999998</v>
      </c>
      <c r="H83" s="13">
        <f t="shared" si="36"/>
        <v>0</v>
      </c>
      <c r="I83" s="13">
        <f t="shared" si="36"/>
        <v>0</v>
      </c>
      <c r="J83" s="13">
        <f t="shared" ref="D83:K83" si="37">SUM(J84:J85)</f>
        <v>1099682.0399999998</v>
      </c>
      <c r="K83" s="13">
        <f t="shared" si="37"/>
        <v>1508048.97</v>
      </c>
    </row>
    <row r="84" spans="1:11">
      <c r="A84" s="12">
        <v>2610</v>
      </c>
      <c r="B84" s="12" t="s">
        <v>44</v>
      </c>
      <c r="C84" s="13">
        <v>0</v>
      </c>
      <c r="D84" s="13">
        <v>0</v>
      </c>
      <c r="E84" s="13">
        <v>0</v>
      </c>
      <c r="F84" s="14">
        <f t="shared" si="33"/>
        <v>0</v>
      </c>
      <c r="G84" s="13">
        <v>0</v>
      </c>
      <c r="H84" s="13">
        <v>0</v>
      </c>
      <c r="I84" s="13">
        <v>0</v>
      </c>
      <c r="J84" s="13">
        <f>+G84+H84+I84</f>
        <v>0</v>
      </c>
      <c r="K84" s="13">
        <f>+F84-J84</f>
        <v>0</v>
      </c>
    </row>
    <row r="85" spans="1:11">
      <c r="A85" s="12">
        <v>2611</v>
      </c>
      <c r="B85" s="12" t="s">
        <v>44</v>
      </c>
      <c r="C85" s="13">
        <v>3006347</v>
      </c>
      <c r="D85" s="13">
        <v>0</v>
      </c>
      <c r="E85" s="13">
        <f>382021.84+11499.68+5094.47</f>
        <v>398615.99</v>
      </c>
      <c r="F85" s="14">
        <f t="shared" si="33"/>
        <v>2607731.0099999998</v>
      </c>
      <c r="G85" s="13">
        <v>1099682.0399999998</v>
      </c>
      <c r="H85" s="13">
        <v>0</v>
      </c>
      <c r="I85" s="13">
        <v>0</v>
      </c>
      <c r="J85" s="13">
        <f>+G85+H85+I85</f>
        <v>1099682.0399999998</v>
      </c>
      <c r="K85" s="13">
        <f>+F85-J85</f>
        <v>1508048.97</v>
      </c>
    </row>
    <row r="86" spans="1:11">
      <c r="A86" s="12">
        <v>2700</v>
      </c>
      <c r="B86" s="12" t="s">
        <v>104</v>
      </c>
      <c r="C86" s="13">
        <f>SUM(C87:C89)</f>
        <v>3477</v>
      </c>
      <c r="D86" s="13">
        <f t="shared" ref="D86:I86" si="38">SUM(D87:D89)</f>
        <v>1743.94</v>
      </c>
      <c r="E86" s="13">
        <f t="shared" si="38"/>
        <v>0</v>
      </c>
      <c r="F86" s="13">
        <f t="shared" si="38"/>
        <v>5220.9400000000005</v>
      </c>
      <c r="G86" s="13">
        <f t="shared" si="38"/>
        <v>1743.94</v>
      </c>
      <c r="H86" s="13">
        <f t="shared" si="38"/>
        <v>0</v>
      </c>
      <c r="I86" s="13">
        <f t="shared" si="38"/>
        <v>0</v>
      </c>
      <c r="J86" s="13">
        <f t="shared" ref="D86:K86" si="39">SUM(J87:J89)</f>
        <v>1743.94</v>
      </c>
      <c r="K86" s="13">
        <f t="shared" si="39"/>
        <v>3477</v>
      </c>
    </row>
    <row r="87" spans="1:11">
      <c r="A87" s="12">
        <v>2710</v>
      </c>
      <c r="B87" s="12" t="s">
        <v>105</v>
      </c>
      <c r="C87" s="13">
        <v>0</v>
      </c>
      <c r="D87" s="13">
        <v>0</v>
      </c>
      <c r="E87" s="13">
        <v>0</v>
      </c>
      <c r="F87" s="14">
        <f t="shared" si="33"/>
        <v>0</v>
      </c>
      <c r="G87" s="13">
        <v>0</v>
      </c>
      <c r="H87" s="13">
        <v>0</v>
      </c>
      <c r="I87" s="13">
        <v>0</v>
      </c>
      <c r="J87" s="13">
        <f>+G87+H87+I87</f>
        <v>0</v>
      </c>
      <c r="K87" s="13">
        <f>+F87-J87</f>
        <v>0</v>
      </c>
    </row>
    <row r="88" spans="1:11">
      <c r="A88" s="12">
        <v>2711</v>
      </c>
      <c r="B88" s="12" t="s">
        <v>105</v>
      </c>
      <c r="C88" s="13">
        <v>3477</v>
      </c>
      <c r="D88" s="13">
        <v>0</v>
      </c>
      <c r="E88" s="13">
        <v>0</v>
      </c>
      <c r="F88" s="14">
        <f t="shared" si="33"/>
        <v>3477</v>
      </c>
      <c r="G88" s="13">
        <v>0</v>
      </c>
      <c r="H88" s="13">
        <v>0</v>
      </c>
      <c r="I88" s="13">
        <v>0</v>
      </c>
      <c r="J88" s="13">
        <f>+G88+H88+I88</f>
        <v>0</v>
      </c>
      <c r="K88" s="13">
        <f>+F88-J88</f>
        <v>3477</v>
      </c>
    </row>
    <row r="89" spans="1:11">
      <c r="A89" s="12">
        <v>2721</v>
      </c>
      <c r="B89" s="12" t="s">
        <v>169</v>
      </c>
      <c r="C89" s="13">
        <v>0</v>
      </c>
      <c r="D89" s="13">
        <v>1743.94</v>
      </c>
      <c r="E89" s="13">
        <v>0</v>
      </c>
      <c r="F89" s="14">
        <f t="shared" si="33"/>
        <v>1743.94</v>
      </c>
      <c r="G89" s="13">
        <v>1743.94</v>
      </c>
      <c r="H89" s="13">
        <v>0</v>
      </c>
      <c r="I89" s="13">
        <v>0</v>
      </c>
      <c r="J89" s="13">
        <f>+G89+H89+I89</f>
        <v>1743.94</v>
      </c>
      <c r="K89" s="13">
        <f>+F89-J89</f>
        <v>0</v>
      </c>
    </row>
    <row r="90" spans="1:11">
      <c r="A90" s="12">
        <v>2900</v>
      </c>
      <c r="B90" s="12" t="s">
        <v>106</v>
      </c>
      <c r="C90" s="13">
        <f>SUM(C91:C98)</f>
        <v>115506</v>
      </c>
      <c r="D90" s="13">
        <f t="shared" ref="D90:I90" si="40">SUM(D91:D98)</f>
        <v>14731.25</v>
      </c>
      <c r="E90" s="13">
        <f t="shared" si="40"/>
        <v>0</v>
      </c>
      <c r="F90" s="13">
        <f t="shared" si="40"/>
        <v>130237.25</v>
      </c>
      <c r="G90" s="13">
        <f t="shared" si="40"/>
        <v>4536.32</v>
      </c>
      <c r="H90" s="13">
        <f t="shared" si="40"/>
        <v>24520.489999999998</v>
      </c>
      <c r="I90" s="13">
        <f t="shared" si="40"/>
        <v>0</v>
      </c>
      <c r="J90" s="13">
        <f t="shared" ref="D90:K90" si="41">SUM(J91:J98)</f>
        <v>29056.809999999998</v>
      </c>
      <c r="K90" s="13">
        <f t="shared" si="41"/>
        <v>101180.44000000002</v>
      </c>
    </row>
    <row r="91" spans="1:11">
      <c r="A91" s="12">
        <v>2910</v>
      </c>
      <c r="B91" s="12" t="s">
        <v>107</v>
      </c>
      <c r="C91" s="13">
        <v>0</v>
      </c>
      <c r="D91" s="13">
        <v>0</v>
      </c>
      <c r="E91" s="13">
        <v>0</v>
      </c>
      <c r="F91" s="14">
        <f t="shared" si="33"/>
        <v>0</v>
      </c>
      <c r="G91" s="13">
        <v>0</v>
      </c>
      <c r="H91" s="13">
        <v>0</v>
      </c>
      <c r="I91" s="13">
        <v>0</v>
      </c>
      <c r="J91" s="13">
        <f t="shared" ref="J91:J98" si="42">+G91+H91+I91</f>
        <v>0</v>
      </c>
      <c r="K91" s="13">
        <f t="shared" ref="K91:K98" si="43">+F91-J91</f>
        <v>0</v>
      </c>
    </row>
    <row r="92" spans="1:11">
      <c r="A92" s="12">
        <v>2911</v>
      </c>
      <c r="B92" s="12" t="s">
        <v>34</v>
      </c>
      <c r="C92" s="13">
        <v>21630</v>
      </c>
      <c r="D92" s="13">
        <f>360.26+1723.44</f>
        <v>2083.6999999999998</v>
      </c>
      <c r="E92" s="13">
        <v>0</v>
      </c>
      <c r="F92" s="14">
        <f t="shared" si="33"/>
        <v>23713.7</v>
      </c>
      <c r="G92" s="13">
        <v>1287.22</v>
      </c>
      <c r="H92" s="13">
        <v>1177.0999999999999</v>
      </c>
      <c r="I92" s="13">
        <v>0</v>
      </c>
      <c r="J92" s="13">
        <f t="shared" si="42"/>
        <v>2464.3199999999997</v>
      </c>
      <c r="K92" s="13">
        <f t="shared" si="43"/>
        <v>21249.38</v>
      </c>
    </row>
    <row r="93" spans="1:11">
      <c r="A93" s="12">
        <v>2940</v>
      </c>
      <c r="B93" s="12" t="s">
        <v>108</v>
      </c>
      <c r="C93" s="13">
        <v>0</v>
      </c>
      <c r="D93" s="13">
        <v>0</v>
      </c>
      <c r="E93" s="13">
        <v>0</v>
      </c>
      <c r="F93" s="14">
        <f t="shared" si="33"/>
        <v>0</v>
      </c>
      <c r="G93" s="13">
        <v>0</v>
      </c>
      <c r="H93" s="13">
        <v>0</v>
      </c>
      <c r="I93" s="13">
        <v>0</v>
      </c>
      <c r="J93" s="13">
        <f t="shared" si="42"/>
        <v>0</v>
      </c>
      <c r="K93" s="13">
        <f t="shared" si="43"/>
        <v>0</v>
      </c>
    </row>
    <row r="94" spans="1:11">
      <c r="A94" s="12">
        <v>2941</v>
      </c>
      <c r="B94" s="12" t="s">
        <v>36</v>
      </c>
      <c r="C94" s="13">
        <v>86520</v>
      </c>
      <c r="D94" s="13">
        <f>9667.57+2320</f>
        <v>11987.57</v>
      </c>
      <c r="E94" s="13">
        <v>0</v>
      </c>
      <c r="F94" s="14">
        <f t="shared" si="33"/>
        <v>98507.57</v>
      </c>
      <c r="G94" s="13">
        <v>2589.12</v>
      </c>
      <c r="H94" s="13">
        <v>23343.39</v>
      </c>
      <c r="I94" s="13">
        <v>0</v>
      </c>
      <c r="J94" s="13">
        <f t="shared" si="42"/>
        <v>25932.51</v>
      </c>
      <c r="K94" s="13">
        <f t="shared" si="43"/>
        <v>72575.060000000012</v>
      </c>
    </row>
    <row r="95" spans="1:11">
      <c r="A95" s="12">
        <v>2970</v>
      </c>
      <c r="B95" s="12" t="s">
        <v>109</v>
      </c>
      <c r="C95" s="13">
        <v>0</v>
      </c>
      <c r="D95" s="13">
        <v>0</v>
      </c>
      <c r="E95" s="13">
        <v>0</v>
      </c>
      <c r="F95" s="14">
        <f t="shared" si="33"/>
        <v>0</v>
      </c>
      <c r="G95" s="13">
        <v>0</v>
      </c>
      <c r="H95" s="13">
        <v>0</v>
      </c>
      <c r="I95" s="13">
        <v>0</v>
      </c>
      <c r="J95" s="13">
        <f t="shared" si="42"/>
        <v>0</v>
      </c>
      <c r="K95" s="13">
        <f t="shared" si="43"/>
        <v>0</v>
      </c>
    </row>
    <row r="96" spans="1:11">
      <c r="A96" s="12">
        <v>2971</v>
      </c>
      <c r="B96" s="12" t="s">
        <v>45</v>
      </c>
      <c r="C96" s="13">
        <v>6135</v>
      </c>
      <c r="D96" s="13">
        <v>659.98</v>
      </c>
      <c r="E96" s="13">
        <v>0</v>
      </c>
      <c r="F96" s="14">
        <f t="shared" si="33"/>
        <v>6794.98</v>
      </c>
      <c r="G96" s="13">
        <v>659.98</v>
      </c>
      <c r="H96" s="13">
        <v>0</v>
      </c>
      <c r="I96" s="13">
        <v>0</v>
      </c>
      <c r="J96" s="13">
        <f t="shared" si="42"/>
        <v>659.98</v>
      </c>
      <c r="K96" s="13">
        <f t="shared" si="43"/>
        <v>6135</v>
      </c>
    </row>
    <row r="97" spans="1:12">
      <c r="A97" s="12">
        <v>2990</v>
      </c>
      <c r="B97" s="12" t="s">
        <v>110</v>
      </c>
      <c r="C97" s="13">
        <v>0</v>
      </c>
      <c r="D97" s="13">
        <v>0</v>
      </c>
      <c r="E97" s="13">
        <v>0</v>
      </c>
      <c r="F97" s="14">
        <f t="shared" si="33"/>
        <v>0</v>
      </c>
      <c r="G97" s="13">
        <v>0</v>
      </c>
      <c r="H97" s="13">
        <v>0</v>
      </c>
      <c r="I97" s="13">
        <v>0</v>
      </c>
      <c r="J97" s="13">
        <f t="shared" si="42"/>
        <v>0</v>
      </c>
      <c r="K97" s="13">
        <f t="shared" si="43"/>
        <v>0</v>
      </c>
    </row>
    <row r="98" spans="1:12">
      <c r="A98" s="12">
        <v>2992</v>
      </c>
      <c r="B98" s="12" t="s">
        <v>46</v>
      </c>
      <c r="C98" s="13">
        <v>1221</v>
      </c>
      <c r="D98" s="13">
        <v>0</v>
      </c>
      <c r="E98" s="13">
        <v>0</v>
      </c>
      <c r="F98" s="14">
        <f t="shared" si="33"/>
        <v>1221</v>
      </c>
      <c r="G98" s="13">
        <v>0</v>
      </c>
      <c r="H98" s="13">
        <v>0</v>
      </c>
      <c r="I98" s="13">
        <v>0</v>
      </c>
      <c r="J98" s="13">
        <f t="shared" si="42"/>
        <v>0</v>
      </c>
      <c r="K98" s="13">
        <f t="shared" si="43"/>
        <v>1221</v>
      </c>
    </row>
    <row r="99" spans="1:12">
      <c r="A99" s="12">
        <v>3000</v>
      </c>
      <c r="B99" s="12" t="s">
        <v>111</v>
      </c>
      <c r="C99" s="13">
        <f>+C100+C113+C121+C130+C137+C150+C155+C161+C165</f>
        <v>22882462</v>
      </c>
      <c r="D99" s="13">
        <f t="shared" ref="D99:I99" si="44">+D100+D113+D121+D130+D137+D150+D155+D161+D165</f>
        <v>1934100.7199999997</v>
      </c>
      <c r="E99" s="13">
        <f t="shared" si="44"/>
        <v>1434100.72</v>
      </c>
      <c r="F99" s="13">
        <f t="shared" si="44"/>
        <v>23382462</v>
      </c>
      <c r="G99" s="13">
        <f t="shared" si="44"/>
        <v>7799341.2199999979</v>
      </c>
      <c r="H99" s="13">
        <f t="shared" si="44"/>
        <v>1635041.6199999999</v>
      </c>
      <c r="I99" s="13">
        <f t="shared" si="44"/>
        <v>202759.13</v>
      </c>
      <c r="J99" s="13">
        <f t="shared" ref="D99:K99" si="45">+J100+J113+J121+J130+J137+J150+J155+J161+J165</f>
        <v>9637141.9699999988</v>
      </c>
      <c r="K99" s="13">
        <f t="shared" si="45"/>
        <v>13745320.029999999</v>
      </c>
      <c r="L99" s="20"/>
    </row>
    <row r="100" spans="1:12">
      <c r="A100" s="12">
        <v>3100</v>
      </c>
      <c r="B100" s="12" t="s">
        <v>112</v>
      </c>
      <c r="C100" s="13">
        <f>SUM(C101:C112)</f>
        <v>2930671</v>
      </c>
      <c r="D100" s="13">
        <f t="shared" ref="D100:I100" si="46">SUM(D101:D112)</f>
        <v>208171.64</v>
      </c>
      <c r="E100" s="13">
        <f t="shared" si="46"/>
        <v>55449.51</v>
      </c>
      <c r="F100" s="13">
        <f t="shared" si="46"/>
        <v>3083393.13</v>
      </c>
      <c r="G100" s="13">
        <f t="shared" si="46"/>
        <v>1232436.1599999999</v>
      </c>
      <c r="H100" s="13">
        <f t="shared" si="46"/>
        <v>0</v>
      </c>
      <c r="I100" s="13">
        <f t="shared" si="46"/>
        <v>56740.32</v>
      </c>
      <c r="J100" s="13">
        <f t="shared" ref="D100:K100" si="47">SUM(J101:J112)</f>
        <v>1289176.4800000002</v>
      </c>
      <c r="K100" s="13">
        <f t="shared" si="47"/>
        <v>1794216.6500000001</v>
      </c>
    </row>
    <row r="101" spans="1:12">
      <c r="A101" s="12">
        <v>3110</v>
      </c>
      <c r="B101" s="12" t="s">
        <v>113</v>
      </c>
      <c r="C101" s="13">
        <v>0</v>
      </c>
      <c r="D101" s="13">
        <v>0</v>
      </c>
      <c r="E101" s="13">
        <v>0</v>
      </c>
      <c r="F101" s="14">
        <f t="shared" si="33"/>
        <v>0</v>
      </c>
      <c r="G101" s="13">
        <v>0</v>
      </c>
      <c r="H101" s="13">
        <v>0</v>
      </c>
      <c r="I101" s="13">
        <v>0</v>
      </c>
      <c r="J101" s="13">
        <f t="shared" ref="J101:J112" si="48">+G101+H101+I101</f>
        <v>0</v>
      </c>
      <c r="K101" s="13">
        <f t="shared" ref="K101:K112" si="49">+F101-J101</f>
        <v>0</v>
      </c>
    </row>
    <row r="102" spans="1:12">
      <c r="A102" s="12">
        <v>3111</v>
      </c>
      <c r="B102" s="12" t="s">
        <v>114</v>
      </c>
      <c r="C102" s="13">
        <v>707226</v>
      </c>
      <c r="D102" s="13">
        <v>114113.08000000002</v>
      </c>
      <c r="E102" s="13">
        <v>0</v>
      </c>
      <c r="F102" s="14">
        <f t="shared" si="33"/>
        <v>821339.08000000007</v>
      </c>
      <c r="G102" s="13">
        <v>390415.49</v>
      </c>
      <c r="H102" s="13">
        <v>0</v>
      </c>
      <c r="I102" s="13">
        <v>62803</v>
      </c>
      <c r="J102" s="13">
        <f t="shared" si="48"/>
        <v>453218.49</v>
      </c>
      <c r="K102" s="13">
        <f t="shared" si="49"/>
        <v>368120.59000000008</v>
      </c>
    </row>
    <row r="103" spans="1:12">
      <c r="A103" s="12">
        <v>3130</v>
      </c>
      <c r="B103" s="12" t="s">
        <v>115</v>
      </c>
      <c r="C103" s="13">
        <v>0</v>
      </c>
      <c r="D103" s="13">
        <v>0</v>
      </c>
      <c r="E103" s="13">
        <v>0</v>
      </c>
      <c r="F103" s="14">
        <f t="shared" si="33"/>
        <v>0</v>
      </c>
      <c r="G103" s="13">
        <v>0</v>
      </c>
      <c r="H103" s="13">
        <v>0</v>
      </c>
      <c r="I103" s="13">
        <v>0</v>
      </c>
      <c r="J103" s="13">
        <f t="shared" si="48"/>
        <v>0</v>
      </c>
      <c r="K103" s="13">
        <f t="shared" si="49"/>
        <v>0</v>
      </c>
    </row>
    <row r="104" spans="1:12">
      <c r="A104" s="12">
        <v>3131</v>
      </c>
      <c r="B104" s="12" t="s">
        <v>48</v>
      </c>
      <c r="C104" s="13">
        <v>8650</v>
      </c>
      <c r="D104" s="13">
        <v>0</v>
      </c>
      <c r="E104" s="13">
        <v>0</v>
      </c>
      <c r="F104" s="14">
        <f t="shared" si="33"/>
        <v>8650</v>
      </c>
      <c r="G104" s="13">
        <v>0</v>
      </c>
      <c r="H104" s="13">
        <v>0</v>
      </c>
      <c r="I104" s="13">
        <v>0</v>
      </c>
      <c r="J104" s="13">
        <f t="shared" si="48"/>
        <v>0</v>
      </c>
      <c r="K104" s="13">
        <f t="shared" si="49"/>
        <v>8650</v>
      </c>
    </row>
    <row r="105" spans="1:12">
      <c r="A105" s="12">
        <v>3140</v>
      </c>
      <c r="B105" s="12" t="s">
        <v>116</v>
      </c>
      <c r="C105" s="13">
        <v>0</v>
      </c>
      <c r="D105" s="13">
        <v>0</v>
      </c>
      <c r="E105" s="13">
        <v>0</v>
      </c>
      <c r="F105" s="14">
        <f t="shared" si="33"/>
        <v>0</v>
      </c>
      <c r="G105" s="13">
        <v>0</v>
      </c>
      <c r="H105" s="13">
        <v>0</v>
      </c>
      <c r="I105" s="13">
        <v>0</v>
      </c>
      <c r="J105" s="13">
        <f t="shared" si="48"/>
        <v>0</v>
      </c>
      <c r="K105" s="13">
        <f t="shared" si="49"/>
        <v>0</v>
      </c>
    </row>
    <row r="106" spans="1:12">
      <c r="A106" s="12">
        <v>3141</v>
      </c>
      <c r="B106" s="12" t="s">
        <v>117</v>
      </c>
      <c r="C106" s="13">
        <v>1579603</v>
      </c>
      <c r="D106" s="13">
        <v>55133.599999999999</v>
      </c>
      <c r="E106" s="13">
        <v>55449.51</v>
      </c>
      <c r="F106" s="14">
        <f t="shared" si="33"/>
        <v>1579287.09</v>
      </c>
      <c r="G106" s="13">
        <v>639739.13</v>
      </c>
      <c r="H106" s="13">
        <v>0</v>
      </c>
      <c r="I106" s="13">
        <v>0</v>
      </c>
      <c r="J106" s="13">
        <f t="shared" si="48"/>
        <v>639739.13</v>
      </c>
      <c r="K106" s="13">
        <f t="shared" si="49"/>
        <v>939547.96000000008</v>
      </c>
    </row>
    <row r="107" spans="1:12">
      <c r="A107" s="12">
        <v>3150</v>
      </c>
      <c r="B107" s="12" t="s">
        <v>118</v>
      </c>
      <c r="C107" s="13">
        <v>0</v>
      </c>
      <c r="D107" s="13">
        <v>0</v>
      </c>
      <c r="E107" s="13">
        <v>0</v>
      </c>
      <c r="F107" s="14">
        <f t="shared" si="33"/>
        <v>0</v>
      </c>
      <c r="G107" s="13">
        <v>0</v>
      </c>
      <c r="H107" s="13">
        <v>0</v>
      </c>
      <c r="I107" s="13">
        <v>0</v>
      </c>
      <c r="J107" s="13">
        <f t="shared" si="48"/>
        <v>0</v>
      </c>
      <c r="K107" s="13">
        <f t="shared" si="49"/>
        <v>0</v>
      </c>
    </row>
    <row r="108" spans="1:12">
      <c r="A108" s="12">
        <v>3151</v>
      </c>
      <c r="B108" s="12" t="s">
        <v>119</v>
      </c>
      <c r="C108" s="13">
        <v>0</v>
      </c>
      <c r="D108" s="13">
        <f>27461.01+5399</f>
        <v>32860.009999999995</v>
      </c>
      <c r="E108" s="13">
        <v>0</v>
      </c>
      <c r="F108" s="14">
        <f t="shared" si="33"/>
        <v>32860.009999999995</v>
      </c>
      <c r="G108" s="13">
        <v>32860.01</v>
      </c>
      <c r="H108" s="13">
        <v>0</v>
      </c>
      <c r="I108" s="13">
        <v>5205</v>
      </c>
      <c r="J108" s="13">
        <f t="shared" si="48"/>
        <v>38065.01</v>
      </c>
      <c r="K108" s="13">
        <f t="shared" si="49"/>
        <v>-5205.0000000000073</v>
      </c>
    </row>
    <row r="109" spans="1:12">
      <c r="A109" s="15">
        <v>3160</v>
      </c>
      <c r="B109" s="15" t="s">
        <v>120</v>
      </c>
      <c r="C109" s="16">
        <v>0</v>
      </c>
      <c r="D109" s="13">
        <v>0</v>
      </c>
      <c r="E109" s="13">
        <v>0</v>
      </c>
      <c r="F109" s="14">
        <f t="shared" si="33"/>
        <v>0</v>
      </c>
      <c r="G109" s="13">
        <v>0</v>
      </c>
      <c r="H109" s="13">
        <v>0</v>
      </c>
      <c r="I109" s="13">
        <v>0</v>
      </c>
      <c r="J109" s="13">
        <f t="shared" si="48"/>
        <v>0</v>
      </c>
      <c r="K109" s="13">
        <f t="shared" si="49"/>
        <v>0</v>
      </c>
    </row>
    <row r="110" spans="1:12">
      <c r="A110" s="12">
        <v>3161</v>
      </c>
      <c r="B110" s="12" t="s">
        <v>49</v>
      </c>
      <c r="C110" s="13">
        <v>610836</v>
      </c>
      <c r="D110" s="13">
        <v>0</v>
      </c>
      <c r="E110" s="13">
        <v>0</v>
      </c>
      <c r="F110" s="14">
        <f t="shared" si="33"/>
        <v>610836</v>
      </c>
      <c r="G110" s="13">
        <v>157230.53</v>
      </c>
      <c r="H110" s="13">
        <v>0</v>
      </c>
      <c r="I110" s="13">
        <v>-11268.18</v>
      </c>
      <c r="J110" s="13">
        <f t="shared" si="48"/>
        <v>145962.35</v>
      </c>
      <c r="K110" s="13">
        <f t="shared" si="49"/>
        <v>464873.65</v>
      </c>
    </row>
    <row r="111" spans="1:12">
      <c r="A111" s="12">
        <v>3180</v>
      </c>
      <c r="B111" s="12" t="s">
        <v>121</v>
      </c>
      <c r="C111" s="13">
        <v>0</v>
      </c>
      <c r="D111" s="13">
        <v>0</v>
      </c>
      <c r="E111" s="13">
        <v>0</v>
      </c>
      <c r="F111" s="14">
        <f t="shared" si="33"/>
        <v>0</v>
      </c>
      <c r="G111" s="13">
        <v>0</v>
      </c>
      <c r="H111" s="13">
        <v>0</v>
      </c>
      <c r="I111" s="13">
        <v>0</v>
      </c>
      <c r="J111" s="13">
        <f t="shared" si="48"/>
        <v>0</v>
      </c>
      <c r="K111" s="13">
        <f t="shared" si="49"/>
        <v>0</v>
      </c>
    </row>
    <row r="112" spans="1:12">
      <c r="A112" s="12">
        <v>3181</v>
      </c>
      <c r="B112" s="12" t="s">
        <v>47</v>
      </c>
      <c r="C112" s="13">
        <v>24356</v>
      </c>
      <c r="D112" s="13">
        <f>5867.46+197.49</f>
        <v>6064.95</v>
      </c>
      <c r="E112" s="13">
        <v>0</v>
      </c>
      <c r="F112" s="14">
        <f t="shared" si="33"/>
        <v>30420.95</v>
      </c>
      <c r="G112" s="13">
        <v>12191</v>
      </c>
      <c r="H112" s="13">
        <v>0</v>
      </c>
      <c r="I112" s="13">
        <v>0.5</v>
      </c>
      <c r="J112" s="13">
        <f t="shared" si="48"/>
        <v>12191.5</v>
      </c>
      <c r="K112" s="13">
        <f t="shared" si="49"/>
        <v>18229.45</v>
      </c>
    </row>
    <row r="113" spans="1:11">
      <c r="A113" s="12">
        <v>3200</v>
      </c>
      <c r="B113" s="12" t="s">
        <v>122</v>
      </c>
      <c r="C113" s="13">
        <f>SUM(C114:C120)</f>
        <v>5511081</v>
      </c>
      <c r="D113" s="13">
        <f t="shared" ref="D113:I113" si="50">SUM(D114:D120)</f>
        <v>324397.34999999998</v>
      </c>
      <c r="E113" s="13">
        <f t="shared" si="50"/>
        <v>175691.21000000002</v>
      </c>
      <c r="F113" s="13">
        <f t="shared" si="50"/>
        <v>5659787.1400000006</v>
      </c>
      <c r="G113" s="13">
        <f t="shared" si="50"/>
        <v>2337594.31</v>
      </c>
      <c r="H113" s="13">
        <f t="shared" si="50"/>
        <v>433745.36999999994</v>
      </c>
      <c r="I113" s="13">
        <f t="shared" si="50"/>
        <v>66830.75</v>
      </c>
      <c r="J113" s="13">
        <f t="shared" ref="D113:K113" si="51">SUM(J114:J120)</f>
        <v>2838170.43</v>
      </c>
      <c r="K113" s="13">
        <f t="shared" si="51"/>
        <v>2821616.7100000004</v>
      </c>
    </row>
    <row r="114" spans="1:11">
      <c r="A114" s="12">
        <v>3220</v>
      </c>
      <c r="B114" s="12" t="s">
        <v>123</v>
      </c>
      <c r="C114" s="13">
        <v>0</v>
      </c>
      <c r="D114" s="13">
        <v>0</v>
      </c>
      <c r="E114" s="13">
        <v>0</v>
      </c>
      <c r="F114" s="14">
        <f t="shared" si="33"/>
        <v>0</v>
      </c>
      <c r="G114" s="13">
        <v>0</v>
      </c>
      <c r="H114" s="13">
        <v>0</v>
      </c>
      <c r="I114" s="13">
        <v>0</v>
      </c>
      <c r="J114" s="13">
        <f t="shared" ref="J114:J120" si="52">+G114+H114+I114</f>
        <v>0</v>
      </c>
      <c r="K114" s="13">
        <f t="shared" ref="K114:K120" si="53">+F114-J114</f>
        <v>0</v>
      </c>
    </row>
    <row r="115" spans="1:11">
      <c r="A115" s="12">
        <v>3221</v>
      </c>
      <c r="B115" s="12" t="s">
        <v>124</v>
      </c>
      <c r="C115" s="13">
        <v>1980927</v>
      </c>
      <c r="D115" s="13">
        <v>38527.009999999995</v>
      </c>
      <c r="E115" s="13">
        <f>482.7+18532.24+52517.18+4024.39</f>
        <v>75556.509999999995</v>
      </c>
      <c r="F115" s="14">
        <f t="shared" si="33"/>
        <v>1943897.5</v>
      </c>
      <c r="G115" s="13">
        <v>791505.78</v>
      </c>
      <c r="H115" s="13">
        <v>0</v>
      </c>
      <c r="I115" s="13">
        <v>66830.75</v>
      </c>
      <c r="J115" s="13">
        <f t="shared" si="52"/>
        <v>858336.53</v>
      </c>
      <c r="K115" s="13">
        <f t="shared" si="53"/>
        <v>1085560.97</v>
      </c>
    </row>
    <row r="116" spans="1:11">
      <c r="A116" s="12">
        <v>3231</v>
      </c>
      <c r="B116" s="12" t="s">
        <v>172</v>
      </c>
      <c r="C116" s="13">
        <v>0</v>
      </c>
      <c r="D116" s="13">
        <f>43164.18+43164.18</f>
        <v>86328.36</v>
      </c>
      <c r="E116" s="13">
        <v>0</v>
      </c>
      <c r="F116" s="14">
        <f t="shared" si="33"/>
        <v>86328.36</v>
      </c>
      <c r="G116" s="13">
        <v>43164.18</v>
      </c>
      <c r="H116" s="13">
        <v>43164.18</v>
      </c>
      <c r="I116" s="13">
        <v>0</v>
      </c>
      <c r="J116" s="13">
        <f t="shared" si="52"/>
        <v>86328.36</v>
      </c>
      <c r="K116" s="13">
        <f t="shared" si="53"/>
        <v>0</v>
      </c>
    </row>
    <row r="117" spans="1:11">
      <c r="A117" s="12">
        <v>3250</v>
      </c>
      <c r="B117" s="12" t="s">
        <v>125</v>
      </c>
      <c r="C117" s="13">
        <v>0</v>
      </c>
      <c r="D117" s="13">
        <v>0</v>
      </c>
      <c r="E117" s="13">
        <v>0</v>
      </c>
      <c r="F117" s="14">
        <f t="shared" si="33"/>
        <v>0</v>
      </c>
      <c r="G117" s="13">
        <v>0</v>
      </c>
      <c r="H117" s="13">
        <v>0</v>
      </c>
      <c r="I117" s="13">
        <v>0</v>
      </c>
      <c r="J117" s="13">
        <f t="shared" si="52"/>
        <v>0</v>
      </c>
      <c r="K117" s="13">
        <f t="shared" si="53"/>
        <v>0</v>
      </c>
    </row>
    <row r="118" spans="1:11">
      <c r="A118" s="12">
        <v>3251</v>
      </c>
      <c r="B118" s="12" t="s">
        <v>51</v>
      </c>
      <c r="C118" s="13">
        <v>2956770</v>
      </c>
      <c r="D118" s="13">
        <v>188768.87</v>
      </c>
      <c r="E118" s="13">
        <f>6868.34+29682+40391.66</f>
        <v>76942</v>
      </c>
      <c r="F118" s="14">
        <f t="shared" si="33"/>
        <v>3068596.87</v>
      </c>
      <c r="G118" s="13">
        <v>1375787.02</v>
      </c>
      <c r="H118" s="13">
        <v>324649.99999999994</v>
      </c>
      <c r="I118" s="13">
        <v>0</v>
      </c>
      <c r="J118" s="13">
        <f t="shared" si="52"/>
        <v>1700437.02</v>
      </c>
      <c r="K118" s="13">
        <f t="shared" si="53"/>
        <v>1368159.85</v>
      </c>
    </row>
    <row r="119" spans="1:11">
      <c r="A119" s="12">
        <v>3260</v>
      </c>
      <c r="B119" s="12" t="s">
        <v>126</v>
      </c>
      <c r="C119" s="13">
        <v>0</v>
      </c>
      <c r="D119" s="13">
        <v>0</v>
      </c>
      <c r="E119" s="13">
        <v>0</v>
      </c>
      <c r="F119" s="14">
        <f t="shared" si="33"/>
        <v>0</v>
      </c>
      <c r="G119" s="13">
        <v>0</v>
      </c>
      <c r="H119" s="13">
        <v>0</v>
      </c>
      <c r="I119" s="13">
        <v>0</v>
      </c>
      <c r="J119" s="13">
        <f t="shared" si="52"/>
        <v>0</v>
      </c>
      <c r="K119" s="13">
        <f t="shared" si="53"/>
        <v>0</v>
      </c>
    </row>
    <row r="120" spans="1:11">
      <c r="A120" s="12">
        <v>3261</v>
      </c>
      <c r="B120" s="12" t="s">
        <v>50</v>
      </c>
      <c r="C120" s="13">
        <v>573384</v>
      </c>
      <c r="D120" s="13">
        <v>10773.11</v>
      </c>
      <c r="E120" s="13">
        <v>23192.7</v>
      </c>
      <c r="F120" s="14">
        <f t="shared" si="33"/>
        <v>560964.41</v>
      </c>
      <c r="G120" s="13">
        <v>127137.32999999999</v>
      </c>
      <c r="H120" s="13">
        <v>65931.19</v>
      </c>
      <c r="I120" s="13">
        <v>0</v>
      </c>
      <c r="J120" s="13">
        <f t="shared" si="52"/>
        <v>193068.52</v>
      </c>
      <c r="K120" s="13">
        <f t="shared" si="53"/>
        <v>367895.89</v>
      </c>
    </row>
    <row r="121" spans="1:11">
      <c r="A121" s="12">
        <v>3300</v>
      </c>
      <c r="B121" s="12" t="s">
        <v>127</v>
      </c>
      <c r="C121" s="13">
        <f>SUM(C122:C129)</f>
        <v>2890951</v>
      </c>
      <c r="D121" s="13">
        <f t="shared" ref="D121:I121" si="54">SUM(D122:D129)</f>
        <v>636853.73</v>
      </c>
      <c r="E121" s="13">
        <f t="shared" si="54"/>
        <v>17409.379999999997</v>
      </c>
      <c r="F121" s="13">
        <f t="shared" si="54"/>
        <v>3510395.35</v>
      </c>
      <c r="G121" s="13">
        <f t="shared" si="54"/>
        <v>1067756.0900000001</v>
      </c>
      <c r="H121" s="13">
        <f t="shared" si="54"/>
        <v>432975.78</v>
      </c>
      <c r="I121" s="13">
        <f t="shared" si="54"/>
        <v>0</v>
      </c>
      <c r="J121" s="13">
        <f t="shared" ref="D121:K121" si="55">SUM(J122:J129)</f>
        <v>1500731.87</v>
      </c>
      <c r="K121" s="13">
        <f t="shared" si="55"/>
        <v>2009663.48</v>
      </c>
    </row>
    <row r="122" spans="1:11">
      <c r="A122" s="12">
        <v>3310</v>
      </c>
      <c r="B122" s="12" t="s">
        <v>128</v>
      </c>
      <c r="C122" s="13">
        <v>0</v>
      </c>
      <c r="D122" s="13">
        <v>0</v>
      </c>
      <c r="E122" s="13">
        <v>0</v>
      </c>
      <c r="F122" s="14">
        <f t="shared" si="33"/>
        <v>0</v>
      </c>
      <c r="G122" s="13">
        <v>0</v>
      </c>
      <c r="H122" s="13">
        <v>0</v>
      </c>
      <c r="I122" s="13">
        <v>0</v>
      </c>
      <c r="J122" s="13">
        <f t="shared" ref="J122:J129" si="56">+G122+H122+I122</f>
        <v>0</v>
      </c>
      <c r="K122" s="13">
        <f t="shared" ref="K122:K129" si="57">+F122-J122</f>
        <v>0</v>
      </c>
    </row>
    <row r="123" spans="1:11">
      <c r="A123" s="12">
        <v>3311</v>
      </c>
      <c r="B123" s="12" t="s">
        <v>52</v>
      </c>
      <c r="C123" s="13">
        <v>366791</v>
      </c>
      <c r="D123" s="13">
        <v>66104.5</v>
      </c>
      <c r="E123" s="13">
        <v>0</v>
      </c>
      <c r="F123" s="14">
        <f t="shared" si="33"/>
        <v>432895.5</v>
      </c>
      <c r="G123" s="13">
        <v>66104.5</v>
      </c>
      <c r="H123" s="13">
        <v>0</v>
      </c>
      <c r="I123" s="13">
        <v>0</v>
      </c>
      <c r="J123" s="13">
        <f t="shared" si="56"/>
        <v>66104.5</v>
      </c>
      <c r="K123" s="13">
        <f t="shared" si="57"/>
        <v>366791</v>
      </c>
    </row>
    <row r="124" spans="1:11">
      <c r="A124" s="12">
        <v>3331</v>
      </c>
      <c r="B124" s="12" t="s">
        <v>165</v>
      </c>
      <c r="C124" s="13">
        <v>0</v>
      </c>
      <c r="D124" s="13">
        <v>500000</v>
      </c>
      <c r="E124" s="13">
        <v>0</v>
      </c>
      <c r="F124" s="14">
        <f t="shared" si="33"/>
        <v>500000</v>
      </c>
      <c r="G124" s="13">
        <v>246500</v>
      </c>
      <c r="H124" s="13">
        <v>0</v>
      </c>
      <c r="I124" s="13">
        <v>0</v>
      </c>
      <c r="J124" s="13">
        <f t="shared" si="56"/>
        <v>246500</v>
      </c>
      <c r="K124" s="13">
        <f t="shared" si="57"/>
        <v>253500</v>
      </c>
    </row>
    <row r="125" spans="1:11">
      <c r="A125" s="22">
        <v>3341</v>
      </c>
      <c r="B125" s="12" t="s">
        <v>166</v>
      </c>
      <c r="C125" s="13">
        <v>0</v>
      </c>
      <c r="D125" s="13">
        <v>3300</v>
      </c>
      <c r="E125" s="13">
        <v>0</v>
      </c>
      <c r="F125" s="14">
        <f t="shared" si="33"/>
        <v>3300</v>
      </c>
      <c r="G125" s="13">
        <v>3300</v>
      </c>
      <c r="H125" s="13">
        <v>0</v>
      </c>
      <c r="I125" s="13">
        <v>0</v>
      </c>
      <c r="J125" s="13">
        <f t="shared" si="56"/>
        <v>3300</v>
      </c>
      <c r="K125" s="13">
        <f t="shared" si="57"/>
        <v>0</v>
      </c>
    </row>
    <row r="126" spans="1:11">
      <c r="A126" s="12">
        <v>3360</v>
      </c>
      <c r="B126" s="12" t="s">
        <v>129</v>
      </c>
      <c r="C126" s="13">
        <v>0</v>
      </c>
      <c r="D126" s="13">
        <v>0</v>
      </c>
      <c r="E126" s="13">
        <v>0</v>
      </c>
      <c r="F126" s="14">
        <f t="shared" si="33"/>
        <v>0</v>
      </c>
      <c r="G126" s="13">
        <v>0</v>
      </c>
      <c r="H126" s="13">
        <v>0</v>
      </c>
      <c r="I126" s="13">
        <v>0</v>
      </c>
      <c r="J126" s="13">
        <f t="shared" si="56"/>
        <v>0</v>
      </c>
      <c r="K126" s="13">
        <f t="shared" si="57"/>
        <v>0</v>
      </c>
    </row>
    <row r="127" spans="1:11">
      <c r="A127" s="12">
        <v>3361</v>
      </c>
      <c r="B127" s="12" t="s">
        <v>130</v>
      </c>
      <c r="C127" s="13">
        <v>0</v>
      </c>
      <c r="D127" s="13">
        <f>1269.04+510.4</f>
        <v>1779.44</v>
      </c>
      <c r="E127" s="13">
        <v>0</v>
      </c>
      <c r="F127" s="14">
        <f t="shared" si="33"/>
        <v>1779.44</v>
      </c>
      <c r="G127" s="13">
        <v>1779.44</v>
      </c>
      <c r="H127" s="13">
        <v>0</v>
      </c>
      <c r="I127" s="13">
        <v>0</v>
      </c>
      <c r="J127" s="13">
        <f t="shared" si="56"/>
        <v>1779.44</v>
      </c>
      <c r="K127" s="13">
        <f t="shared" si="57"/>
        <v>0</v>
      </c>
    </row>
    <row r="128" spans="1:11">
      <c r="A128" s="12">
        <v>3380</v>
      </c>
      <c r="B128" s="12" t="s">
        <v>56</v>
      </c>
      <c r="C128" s="13">
        <v>0</v>
      </c>
      <c r="D128" s="13">
        <v>0</v>
      </c>
      <c r="E128" s="13">
        <v>0</v>
      </c>
      <c r="F128" s="14">
        <f t="shared" si="33"/>
        <v>0</v>
      </c>
      <c r="G128" s="13">
        <v>0</v>
      </c>
      <c r="H128" s="13">
        <v>0</v>
      </c>
      <c r="I128" s="13">
        <v>0</v>
      </c>
      <c r="J128" s="13">
        <f t="shared" si="56"/>
        <v>0</v>
      </c>
      <c r="K128" s="13">
        <f t="shared" si="57"/>
        <v>0</v>
      </c>
    </row>
    <row r="129" spans="1:11">
      <c r="A129" s="12">
        <v>3381</v>
      </c>
      <c r="B129" s="12" t="s">
        <v>56</v>
      </c>
      <c r="C129" s="13">
        <v>2524160</v>
      </c>
      <c r="D129" s="13">
        <v>65669.789999999994</v>
      </c>
      <c r="E129" s="13">
        <f>14125.96+3283.42</f>
        <v>17409.379999999997</v>
      </c>
      <c r="F129" s="14">
        <f t="shared" si="33"/>
        <v>2572420.41</v>
      </c>
      <c r="G129" s="13">
        <v>750072.15000000014</v>
      </c>
      <c r="H129" s="13">
        <v>432975.78</v>
      </c>
      <c r="I129" s="13">
        <v>0</v>
      </c>
      <c r="J129" s="13">
        <f t="shared" si="56"/>
        <v>1183047.9300000002</v>
      </c>
      <c r="K129" s="13">
        <f t="shared" si="57"/>
        <v>1389372.48</v>
      </c>
    </row>
    <row r="130" spans="1:11">
      <c r="A130" s="12">
        <v>3400</v>
      </c>
      <c r="B130" s="12" t="s">
        <v>131</v>
      </c>
      <c r="C130" s="13">
        <f>SUM(C131:C136)</f>
        <v>1551474</v>
      </c>
      <c r="D130" s="13">
        <f t="shared" ref="D130:I130" si="58">SUM(D131:D136)</f>
        <v>210618.37</v>
      </c>
      <c r="E130" s="13">
        <f t="shared" si="58"/>
        <v>68801.25</v>
      </c>
      <c r="F130" s="13">
        <f t="shared" si="58"/>
        <v>1693291.12</v>
      </c>
      <c r="G130" s="13">
        <f t="shared" si="58"/>
        <v>1104078.0699999998</v>
      </c>
      <c r="H130" s="13">
        <f t="shared" si="58"/>
        <v>12064</v>
      </c>
      <c r="I130" s="13">
        <f t="shared" si="58"/>
        <v>6100</v>
      </c>
      <c r="J130" s="13">
        <f t="shared" ref="D130:K130" si="59">SUM(J131:J136)</f>
        <v>1122242.0699999998</v>
      </c>
      <c r="K130" s="13">
        <f t="shared" si="59"/>
        <v>571049.05000000005</v>
      </c>
    </row>
    <row r="131" spans="1:11">
      <c r="A131" s="12">
        <v>3410</v>
      </c>
      <c r="B131" s="12" t="s">
        <v>132</v>
      </c>
      <c r="C131" s="13">
        <v>0</v>
      </c>
      <c r="D131" s="13">
        <v>0</v>
      </c>
      <c r="E131" s="13">
        <v>0</v>
      </c>
      <c r="F131" s="14">
        <f t="shared" si="33"/>
        <v>0</v>
      </c>
      <c r="G131" s="13">
        <v>0</v>
      </c>
      <c r="H131" s="13">
        <v>0</v>
      </c>
      <c r="I131" s="13">
        <v>0</v>
      </c>
      <c r="J131" s="13">
        <f t="shared" ref="J131:J136" si="60">+G131+H131+I131</f>
        <v>0</v>
      </c>
      <c r="K131" s="13">
        <f t="shared" ref="K131:K136" si="61">+F131-J131</f>
        <v>0</v>
      </c>
    </row>
    <row r="132" spans="1:11">
      <c r="A132" s="12">
        <v>3411</v>
      </c>
      <c r="B132" s="12" t="s">
        <v>54</v>
      </c>
      <c r="C132" s="13">
        <v>135620</v>
      </c>
      <c r="D132" s="13">
        <v>10501.74</v>
      </c>
      <c r="E132" s="13">
        <v>0</v>
      </c>
      <c r="F132" s="14">
        <f t="shared" si="33"/>
        <v>146121.74</v>
      </c>
      <c r="G132" s="13">
        <v>75997.180000000008</v>
      </c>
      <c r="H132" s="13">
        <v>0</v>
      </c>
      <c r="I132" s="13">
        <v>0</v>
      </c>
      <c r="J132" s="13">
        <f t="shared" si="60"/>
        <v>75997.180000000008</v>
      </c>
      <c r="K132" s="13">
        <f t="shared" si="61"/>
        <v>70124.559999999983</v>
      </c>
    </row>
    <row r="133" spans="1:11">
      <c r="A133" s="12">
        <v>3450</v>
      </c>
      <c r="B133" s="12" t="s">
        <v>133</v>
      </c>
      <c r="C133" s="13">
        <v>0</v>
      </c>
      <c r="D133" s="13">
        <v>0</v>
      </c>
      <c r="E133" s="13">
        <v>0</v>
      </c>
      <c r="F133" s="14">
        <f t="shared" si="33"/>
        <v>0</v>
      </c>
      <c r="G133" s="13">
        <v>0</v>
      </c>
      <c r="H133" s="13">
        <v>0</v>
      </c>
      <c r="I133" s="13">
        <v>0</v>
      </c>
      <c r="J133" s="13">
        <f t="shared" si="60"/>
        <v>0</v>
      </c>
      <c r="K133" s="13">
        <f t="shared" si="61"/>
        <v>0</v>
      </c>
    </row>
    <row r="134" spans="1:11">
      <c r="A134" s="12">
        <v>3451</v>
      </c>
      <c r="B134" s="12" t="s">
        <v>15</v>
      </c>
      <c r="C134" s="13">
        <v>828458</v>
      </c>
      <c r="D134" s="13">
        <f>192448.63+7668</f>
        <v>200116.63</v>
      </c>
      <c r="E134" s="13">
        <v>0</v>
      </c>
      <c r="F134" s="14">
        <f t="shared" si="33"/>
        <v>1028574.63</v>
      </c>
      <c r="G134" s="13">
        <v>1003720.8899999999</v>
      </c>
      <c r="H134" s="13">
        <v>0</v>
      </c>
      <c r="I134" s="13">
        <v>6100</v>
      </c>
      <c r="J134" s="13">
        <f t="shared" si="60"/>
        <v>1009820.8899999999</v>
      </c>
      <c r="K134" s="13">
        <f t="shared" si="61"/>
        <v>18753.740000000107</v>
      </c>
    </row>
    <row r="135" spans="1:11">
      <c r="A135" s="12">
        <v>3470</v>
      </c>
      <c r="B135" s="12" t="s">
        <v>134</v>
      </c>
      <c r="C135" s="13">
        <v>0</v>
      </c>
      <c r="D135" s="13">
        <v>0</v>
      </c>
      <c r="E135" s="13">
        <v>0</v>
      </c>
      <c r="F135" s="14">
        <f t="shared" si="33"/>
        <v>0</v>
      </c>
      <c r="G135" s="13">
        <v>0</v>
      </c>
      <c r="H135" s="13">
        <v>0</v>
      </c>
      <c r="I135" s="13">
        <v>0</v>
      </c>
      <c r="J135" s="13">
        <f t="shared" si="60"/>
        <v>0</v>
      </c>
      <c r="K135" s="13">
        <f t="shared" si="61"/>
        <v>0</v>
      </c>
    </row>
    <row r="136" spans="1:11">
      <c r="A136" s="12">
        <v>3471</v>
      </c>
      <c r="B136" s="12" t="s">
        <v>53</v>
      </c>
      <c r="C136" s="13">
        <v>587396</v>
      </c>
      <c r="D136" s="13">
        <v>0</v>
      </c>
      <c r="E136" s="13">
        <f>35826.1+23760.15+9215</f>
        <v>68801.25</v>
      </c>
      <c r="F136" s="14">
        <f t="shared" si="33"/>
        <v>518594.75</v>
      </c>
      <c r="G136" s="13">
        <v>24360</v>
      </c>
      <c r="H136" s="13">
        <v>12064</v>
      </c>
      <c r="I136" s="13">
        <v>0</v>
      </c>
      <c r="J136" s="13">
        <f t="shared" si="60"/>
        <v>36424</v>
      </c>
      <c r="K136" s="13">
        <f t="shared" si="61"/>
        <v>482170.75</v>
      </c>
    </row>
    <row r="137" spans="1:11">
      <c r="A137" s="12">
        <v>3500</v>
      </c>
      <c r="B137" s="12" t="s">
        <v>135</v>
      </c>
      <c r="C137" s="13">
        <f>SUM(C138:C149)</f>
        <v>4620925</v>
      </c>
      <c r="D137" s="13">
        <f t="shared" ref="D137:I137" si="62">SUM(D138:D149)</f>
        <v>352877.72000000003</v>
      </c>
      <c r="E137" s="13">
        <f t="shared" si="62"/>
        <v>718126.95</v>
      </c>
      <c r="F137" s="13">
        <f t="shared" si="62"/>
        <v>4255675.7700000005</v>
      </c>
      <c r="G137" s="13">
        <f t="shared" si="62"/>
        <v>515646.38</v>
      </c>
      <c r="H137" s="13">
        <f t="shared" si="62"/>
        <v>658219.55000000005</v>
      </c>
      <c r="I137" s="13">
        <f t="shared" si="62"/>
        <v>7374</v>
      </c>
      <c r="J137" s="13">
        <f t="shared" ref="E137:K137" si="63">SUM(J138:J149)</f>
        <v>1181239.93</v>
      </c>
      <c r="K137" s="13">
        <f t="shared" si="63"/>
        <v>3074435.8400000008</v>
      </c>
    </row>
    <row r="138" spans="1:11">
      <c r="A138" s="12">
        <v>3510</v>
      </c>
      <c r="B138" s="12" t="s">
        <v>136</v>
      </c>
      <c r="C138" s="13">
        <v>0</v>
      </c>
      <c r="D138" s="13">
        <v>0</v>
      </c>
      <c r="E138" s="13">
        <v>0</v>
      </c>
      <c r="F138" s="14">
        <f t="shared" si="33"/>
        <v>0</v>
      </c>
      <c r="G138" s="13">
        <v>0</v>
      </c>
      <c r="H138" s="13">
        <v>0</v>
      </c>
      <c r="I138" s="13">
        <v>0</v>
      </c>
      <c r="J138" s="13">
        <f t="shared" ref="J138:J149" si="64">+G138+H138+I138</f>
        <v>0</v>
      </c>
      <c r="K138" s="13">
        <f t="shared" ref="K138:K149" si="65">+F138-J138</f>
        <v>0</v>
      </c>
    </row>
    <row r="139" spans="1:11">
      <c r="A139" s="12">
        <v>3511</v>
      </c>
      <c r="B139" s="12" t="s">
        <v>57</v>
      </c>
      <c r="C139" s="13">
        <v>1177112</v>
      </c>
      <c r="D139" s="13">
        <f>13172+6846.32+8000</f>
        <v>28018.32</v>
      </c>
      <c r="E139" s="13">
        <v>290271.03999999998</v>
      </c>
      <c r="F139" s="14">
        <f t="shared" si="33"/>
        <v>914859.28</v>
      </c>
      <c r="G139" s="13">
        <v>47661.34</v>
      </c>
      <c r="H139" s="13">
        <v>5400</v>
      </c>
      <c r="I139" s="13">
        <v>5000</v>
      </c>
      <c r="J139" s="13">
        <f t="shared" si="64"/>
        <v>58061.34</v>
      </c>
      <c r="K139" s="13">
        <f t="shared" si="65"/>
        <v>856797.94000000006</v>
      </c>
    </row>
    <row r="140" spans="1:11">
      <c r="A140" s="12">
        <v>3520</v>
      </c>
      <c r="B140" s="12" t="s">
        <v>137</v>
      </c>
      <c r="C140" s="13">
        <v>0</v>
      </c>
      <c r="D140" s="13">
        <v>0</v>
      </c>
      <c r="E140" s="13">
        <v>0</v>
      </c>
      <c r="F140" s="14">
        <f t="shared" si="33"/>
        <v>0</v>
      </c>
      <c r="G140" s="13">
        <v>0</v>
      </c>
      <c r="H140" s="13">
        <v>0</v>
      </c>
      <c r="I140" s="13">
        <v>0</v>
      </c>
      <c r="J140" s="13">
        <f t="shared" si="64"/>
        <v>0</v>
      </c>
      <c r="K140" s="13">
        <f t="shared" si="65"/>
        <v>0</v>
      </c>
    </row>
    <row r="141" spans="1:11">
      <c r="A141" s="12">
        <v>3521</v>
      </c>
      <c r="B141" s="12" t="s">
        <v>138</v>
      </c>
      <c r="C141" s="13">
        <v>28405</v>
      </c>
      <c r="D141" s="13">
        <v>5639.71</v>
      </c>
      <c r="E141" s="13">
        <v>0</v>
      </c>
      <c r="F141" s="14">
        <f t="shared" si="33"/>
        <v>34044.71</v>
      </c>
      <c r="G141" s="13">
        <v>11076.309999999998</v>
      </c>
      <c r="H141" s="13">
        <v>0</v>
      </c>
      <c r="I141" s="13">
        <v>0</v>
      </c>
      <c r="J141" s="13">
        <f t="shared" si="64"/>
        <v>11076.309999999998</v>
      </c>
      <c r="K141" s="13">
        <f t="shared" si="65"/>
        <v>22968.400000000001</v>
      </c>
    </row>
    <row r="142" spans="1:11">
      <c r="A142" s="12">
        <v>3530</v>
      </c>
      <c r="B142" s="12" t="s">
        <v>139</v>
      </c>
      <c r="C142" s="13">
        <v>0</v>
      </c>
      <c r="D142" s="13">
        <v>0</v>
      </c>
      <c r="E142" s="13">
        <v>0</v>
      </c>
      <c r="F142" s="14">
        <f t="shared" ref="F142:F176" si="66">+C142+D142-E142</f>
        <v>0</v>
      </c>
      <c r="G142" s="13">
        <v>0</v>
      </c>
      <c r="H142" s="13">
        <v>0</v>
      </c>
      <c r="I142" s="13">
        <v>0</v>
      </c>
      <c r="J142" s="13">
        <f t="shared" si="64"/>
        <v>0</v>
      </c>
      <c r="K142" s="13">
        <f t="shared" si="65"/>
        <v>0</v>
      </c>
    </row>
    <row r="143" spans="1:11">
      <c r="A143" s="12">
        <v>3531</v>
      </c>
      <c r="B143" s="12" t="s">
        <v>140</v>
      </c>
      <c r="C143" s="13">
        <v>62448</v>
      </c>
      <c r="D143" s="13">
        <v>2602.75</v>
      </c>
      <c r="E143" s="13">
        <v>387.03</v>
      </c>
      <c r="F143" s="14">
        <f t="shared" si="66"/>
        <v>64663.72</v>
      </c>
      <c r="G143" s="13">
        <v>8723.2000000000007</v>
      </c>
      <c r="H143" s="13">
        <v>533.6</v>
      </c>
      <c r="I143" s="13">
        <v>0</v>
      </c>
      <c r="J143" s="13">
        <f t="shared" si="64"/>
        <v>9256.8000000000011</v>
      </c>
      <c r="K143" s="13">
        <f t="shared" si="65"/>
        <v>55406.92</v>
      </c>
    </row>
    <row r="144" spans="1:11">
      <c r="A144" s="15">
        <v>3533</v>
      </c>
      <c r="B144" s="15" t="s">
        <v>58</v>
      </c>
      <c r="C144" s="16">
        <v>20757</v>
      </c>
      <c r="D144" s="13">
        <v>3619.3</v>
      </c>
      <c r="E144" s="13">
        <v>0</v>
      </c>
      <c r="F144" s="14">
        <f t="shared" si="66"/>
        <v>24376.3</v>
      </c>
      <c r="G144" s="13">
        <v>5278.0000000000009</v>
      </c>
      <c r="H144" s="13">
        <v>0</v>
      </c>
      <c r="I144" s="13">
        <v>0</v>
      </c>
      <c r="J144" s="13">
        <f t="shared" si="64"/>
        <v>5278.0000000000009</v>
      </c>
      <c r="K144" s="13">
        <f t="shared" si="65"/>
        <v>19098.3</v>
      </c>
    </row>
    <row r="145" spans="1:11">
      <c r="A145" s="12">
        <v>3550</v>
      </c>
      <c r="B145" s="12" t="s">
        <v>141</v>
      </c>
      <c r="C145" s="13">
        <v>0</v>
      </c>
      <c r="D145" s="13">
        <v>0</v>
      </c>
      <c r="E145" s="13">
        <v>0</v>
      </c>
      <c r="F145" s="14">
        <f t="shared" si="66"/>
        <v>0</v>
      </c>
      <c r="G145" s="13">
        <v>0</v>
      </c>
      <c r="H145" s="13">
        <v>0</v>
      </c>
      <c r="I145" s="13">
        <v>0</v>
      </c>
      <c r="J145" s="13">
        <f t="shared" si="64"/>
        <v>0</v>
      </c>
      <c r="K145" s="13">
        <f t="shared" si="65"/>
        <v>0</v>
      </c>
    </row>
    <row r="146" spans="1:11">
      <c r="A146" s="12">
        <v>3551</v>
      </c>
      <c r="B146" s="12" t="s">
        <v>59</v>
      </c>
      <c r="C146" s="13">
        <v>1891347</v>
      </c>
      <c r="D146" s="13">
        <v>0</v>
      </c>
      <c r="E146" s="13">
        <f>87184.31+56163.37</f>
        <v>143347.68</v>
      </c>
      <c r="F146" s="14">
        <f t="shared" si="66"/>
        <v>1747999.32</v>
      </c>
      <c r="G146" s="13">
        <v>256011.36999999997</v>
      </c>
      <c r="H146" s="13">
        <v>228665.55</v>
      </c>
      <c r="I146" s="13">
        <v>0</v>
      </c>
      <c r="J146" s="13">
        <f t="shared" si="64"/>
        <v>484676.91999999993</v>
      </c>
      <c r="K146" s="13">
        <f t="shared" si="65"/>
        <v>1263322.4000000001</v>
      </c>
    </row>
    <row r="147" spans="1:11">
      <c r="A147" s="12">
        <v>3580</v>
      </c>
      <c r="B147" s="12" t="s">
        <v>142</v>
      </c>
      <c r="C147" s="13">
        <v>0</v>
      </c>
      <c r="D147" s="13">
        <v>0</v>
      </c>
      <c r="E147" s="13">
        <v>0</v>
      </c>
      <c r="F147" s="14">
        <f t="shared" si="66"/>
        <v>0</v>
      </c>
      <c r="G147" s="13">
        <v>0</v>
      </c>
      <c r="H147" s="13">
        <v>0</v>
      </c>
      <c r="I147" s="13">
        <v>0</v>
      </c>
      <c r="J147" s="13">
        <f t="shared" si="64"/>
        <v>0</v>
      </c>
      <c r="K147" s="13">
        <f t="shared" si="65"/>
        <v>0</v>
      </c>
    </row>
    <row r="148" spans="1:11">
      <c r="A148" s="12">
        <v>3581</v>
      </c>
      <c r="B148" s="12" t="s">
        <v>143</v>
      </c>
      <c r="C148" s="13">
        <v>1440856</v>
      </c>
      <c r="D148" s="13">
        <f>30164.7+62207.32+155518.3+62207.32</f>
        <v>310097.64</v>
      </c>
      <c r="E148" s="13">
        <f>225840.69+58280.51</f>
        <v>284121.2</v>
      </c>
      <c r="F148" s="14">
        <f t="shared" si="66"/>
        <v>1466832.4400000002</v>
      </c>
      <c r="G148" s="13">
        <v>183996.16</v>
      </c>
      <c r="H148" s="13">
        <v>423620.4</v>
      </c>
      <c r="I148" s="13">
        <v>1624</v>
      </c>
      <c r="J148" s="13">
        <f t="shared" si="64"/>
        <v>609240.56000000006</v>
      </c>
      <c r="K148" s="13">
        <f t="shared" si="65"/>
        <v>857591.88000000012</v>
      </c>
    </row>
    <row r="149" spans="1:11">
      <c r="A149" s="12">
        <v>3591</v>
      </c>
      <c r="B149" s="21" t="s">
        <v>170</v>
      </c>
      <c r="C149" s="13">
        <v>0</v>
      </c>
      <c r="D149" s="13">
        <v>2900</v>
      </c>
      <c r="E149" s="13">
        <v>0</v>
      </c>
      <c r="F149" s="14">
        <f t="shared" si="66"/>
        <v>2900</v>
      </c>
      <c r="G149" s="13">
        <v>2900</v>
      </c>
      <c r="H149" s="13">
        <v>0</v>
      </c>
      <c r="I149" s="13">
        <v>750</v>
      </c>
      <c r="J149" s="13">
        <f t="shared" si="64"/>
        <v>3650</v>
      </c>
      <c r="K149" s="13">
        <f t="shared" si="65"/>
        <v>-750</v>
      </c>
    </row>
    <row r="150" spans="1:11">
      <c r="A150" s="12">
        <v>3600</v>
      </c>
      <c r="B150" s="12" t="s">
        <v>144</v>
      </c>
      <c r="C150" s="13">
        <f>SUM(C151:C154)</f>
        <v>1343367</v>
      </c>
      <c r="D150" s="13">
        <f t="shared" ref="D150:I150" si="67">SUM(D151:D154)</f>
        <v>183403.41999999998</v>
      </c>
      <c r="E150" s="13">
        <f t="shared" si="67"/>
        <v>49135.29</v>
      </c>
      <c r="F150" s="13">
        <f t="shared" si="67"/>
        <v>1477635.13</v>
      </c>
      <c r="G150" s="13">
        <f t="shared" si="67"/>
        <v>581343.5</v>
      </c>
      <c r="H150" s="13">
        <f t="shared" si="67"/>
        <v>72177.51999999999</v>
      </c>
      <c r="I150" s="13">
        <f t="shared" si="67"/>
        <v>0</v>
      </c>
      <c r="J150" s="13">
        <f t="shared" ref="D150:K150" si="68">SUM(J151:J154)</f>
        <v>653521.02</v>
      </c>
      <c r="K150" s="13">
        <f t="shared" si="68"/>
        <v>824114.10999999987</v>
      </c>
    </row>
    <row r="151" spans="1:11">
      <c r="A151" s="12">
        <v>3610</v>
      </c>
      <c r="B151" s="12" t="s">
        <v>145</v>
      </c>
      <c r="C151" s="13">
        <v>0</v>
      </c>
      <c r="D151" s="13">
        <v>0</v>
      </c>
      <c r="E151" s="13">
        <v>0</v>
      </c>
      <c r="F151" s="14">
        <f t="shared" si="66"/>
        <v>0</v>
      </c>
      <c r="G151" s="13">
        <v>0</v>
      </c>
      <c r="H151" s="13">
        <v>0</v>
      </c>
      <c r="I151" s="13">
        <v>0</v>
      </c>
      <c r="J151" s="13">
        <f>+G151+H151+I151</f>
        <v>0</v>
      </c>
      <c r="K151" s="13">
        <f>+F151-J151</f>
        <v>0</v>
      </c>
    </row>
    <row r="152" spans="1:11">
      <c r="A152" s="12">
        <v>3612</v>
      </c>
      <c r="B152" s="12" t="s">
        <v>146</v>
      </c>
      <c r="C152" s="13">
        <v>1342574</v>
      </c>
      <c r="D152" s="13">
        <v>183403.41999999998</v>
      </c>
      <c r="E152" s="13">
        <f>36536.6+12598.69</f>
        <v>49135.29</v>
      </c>
      <c r="F152" s="14">
        <f t="shared" si="66"/>
        <v>1476842.13</v>
      </c>
      <c r="G152" s="13">
        <v>581343.5</v>
      </c>
      <c r="H152" s="13">
        <v>72177.51999999999</v>
      </c>
      <c r="I152" s="13">
        <v>0</v>
      </c>
      <c r="J152" s="13">
        <f>+G152+H152+I152</f>
        <v>653521.02</v>
      </c>
      <c r="K152" s="13">
        <f>+F152-J152</f>
        <v>823321.10999999987</v>
      </c>
    </row>
    <row r="153" spans="1:11">
      <c r="A153" s="12">
        <v>3640</v>
      </c>
      <c r="B153" s="12" t="s">
        <v>147</v>
      </c>
      <c r="C153" s="13">
        <v>0</v>
      </c>
      <c r="D153" s="13">
        <v>0</v>
      </c>
      <c r="E153" s="13">
        <v>0</v>
      </c>
      <c r="F153" s="14">
        <f t="shared" si="66"/>
        <v>0</v>
      </c>
      <c r="G153" s="13">
        <v>0</v>
      </c>
      <c r="H153" s="13">
        <v>0</v>
      </c>
      <c r="I153" s="13">
        <v>0</v>
      </c>
      <c r="J153" s="13">
        <f>+G153+H153+I153</f>
        <v>0</v>
      </c>
      <c r="K153" s="13">
        <f>+F153-J153</f>
        <v>0</v>
      </c>
    </row>
    <row r="154" spans="1:11">
      <c r="A154" s="12">
        <v>3641</v>
      </c>
      <c r="B154" s="12" t="s">
        <v>148</v>
      </c>
      <c r="C154" s="13">
        <v>793</v>
      </c>
      <c r="D154" s="13">
        <v>0</v>
      </c>
      <c r="E154" s="13">
        <v>0</v>
      </c>
      <c r="F154" s="14">
        <f t="shared" si="66"/>
        <v>793</v>
      </c>
      <c r="G154" s="13">
        <v>0</v>
      </c>
      <c r="H154" s="13">
        <v>0</v>
      </c>
      <c r="I154" s="13">
        <v>0</v>
      </c>
      <c r="J154" s="13">
        <f>+G154+H154+I154</f>
        <v>0</v>
      </c>
      <c r="K154" s="13">
        <f>+F154-J154</f>
        <v>793</v>
      </c>
    </row>
    <row r="155" spans="1:11">
      <c r="A155" s="12">
        <v>3700</v>
      </c>
      <c r="B155" s="12" t="s">
        <v>149</v>
      </c>
      <c r="C155" s="13">
        <f>SUM(C156:C160)</f>
        <v>976307</v>
      </c>
      <c r="D155" s="13">
        <f t="shared" ref="D155:I155" si="69">SUM(D156:D160)</f>
        <v>17766.599999999999</v>
      </c>
      <c r="E155" s="13">
        <f t="shared" si="69"/>
        <v>60034.890000000007</v>
      </c>
      <c r="F155" s="13">
        <f t="shared" si="69"/>
        <v>934038.71</v>
      </c>
      <c r="G155" s="13">
        <f t="shared" si="69"/>
        <v>233350.6</v>
      </c>
      <c r="H155" s="13">
        <f t="shared" si="69"/>
        <v>0</v>
      </c>
      <c r="I155" s="13">
        <f t="shared" si="69"/>
        <v>19489</v>
      </c>
      <c r="J155" s="13">
        <f t="shared" ref="D155:K155" si="70">SUM(J156:J160)</f>
        <v>252839.6</v>
      </c>
      <c r="K155" s="13">
        <f t="shared" si="70"/>
        <v>681199.11</v>
      </c>
    </row>
    <row r="156" spans="1:11">
      <c r="A156" s="12">
        <v>3710</v>
      </c>
      <c r="B156" s="12" t="s">
        <v>150</v>
      </c>
      <c r="C156" s="13">
        <v>0</v>
      </c>
      <c r="D156" s="13">
        <v>0</v>
      </c>
      <c r="E156" s="13">
        <v>0</v>
      </c>
      <c r="F156" s="14">
        <f t="shared" si="66"/>
        <v>0</v>
      </c>
      <c r="G156" s="13">
        <v>0</v>
      </c>
      <c r="H156" s="13">
        <v>0</v>
      </c>
      <c r="I156" s="13">
        <v>0</v>
      </c>
      <c r="J156" s="13">
        <f>+G156+H156+I156</f>
        <v>0</v>
      </c>
      <c r="K156" s="13">
        <f>+F156-J156</f>
        <v>0</v>
      </c>
    </row>
    <row r="157" spans="1:11">
      <c r="A157" s="12">
        <v>3711</v>
      </c>
      <c r="B157" s="12" t="s">
        <v>151</v>
      </c>
      <c r="C157" s="13">
        <v>118687</v>
      </c>
      <c r="D157" s="13">
        <v>0</v>
      </c>
      <c r="E157" s="13">
        <v>0</v>
      </c>
      <c r="F157" s="14">
        <f t="shared" si="66"/>
        <v>118687</v>
      </c>
      <c r="G157" s="13">
        <v>5026</v>
      </c>
      <c r="H157" s="13">
        <v>0</v>
      </c>
      <c r="I157" s="13">
        <v>4974</v>
      </c>
      <c r="J157" s="13">
        <f>+G157+H157+I157</f>
        <v>10000</v>
      </c>
      <c r="K157" s="13">
        <f>+F157-J157</f>
        <v>108687</v>
      </c>
    </row>
    <row r="158" spans="1:11">
      <c r="A158" s="12">
        <v>3751</v>
      </c>
      <c r="B158" s="12" t="s">
        <v>168</v>
      </c>
      <c r="C158" s="13">
        <v>0</v>
      </c>
      <c r="D158" s="13">
        <v>17766.599999999999</v>
      </c>
      <c r="E158" s="13">
        <v>0</v>
      </c>
      <c r="F158" s="14">
        <f t="shared" si="66"/>
        <v>17766.599999999999</v>
      </c>
      <c r="G158" s="13">
        <v>17766.599999999999</v>
      </c>
      <c r="H158" s="13">
        <v>0</v>
      </c>
      <c r="I158" s="13">
        <v>14515</v>
      </c>
      <c r="J158" s="13">
        <f>+G158+H158+I158</f>
        <v>32281.599999999999</v>
      </c>
      <c r="K158" s="13">
        <f>+F158-J158</f>
        <v>-14515</v>
      </c>
    </row>
    <row r="159" spans="1:11">
      <c r="A159" s="12">
        <v>3790</v>
      </c>
      <c r="B159" s="12" t="s">
        <v>152</v>
      </c>
      <c r="C159" s="13">
        <v>0</v>
      </c>
      <c r="D159" s="13">
        <v>0</v>
      </c>
      <c r="E159" s="13">
        <v>0</v>
      </c>
      <c r="F159" s="14">
        <f t="shared" si="66"/>
        <v>0</v>
      </c>
      <c r="G159" s="13">
        <v>0</v>
      </c>
      <c r="H159" s="13">
        <v>0</v>
      </c>
      <c r="I159" s="13">
        <v>0</v>
      </c>
      <c r="J159" s="13">
        <f>+G159+H159+I159</f>
        <v>0</v>
      </c>
      <c r="K159" s="13">
        <f>+F159-J159</f>
        <v>0</v>
      </c>
    </row>
    <row r="160" spans="1:11">
      <c r="A160" s="12">
        <v>3791</v>
      </c>
      <c r="B160" s="12" t="s">
        <v>152</v>
      </c>
      <c r="C160" s="13">
        <v>857620</v>
      </c>
      <c r="D160" s="13">
        <v>0</v>
      </c>
      <c r="E160" s="13">
        <f>23170.88+25587.14+11276.87</f>
        <v>60034.890000000007</v>
      </c>
      <c r="F160" s="14">
        <f t="shared" si="66"/>
        <v>797585.11</v>
      </c>
      <c r="G160" s="13">
        <v>210558</v>
      </c>
      <c r="H160" s="13">
        <v>0</v>
      </c>
      <c r="I160" s="13">
        <v>0</v>
      </c>
      <c r="J160" s="13">
        <f>+G160+H160+I160</f>
        <v>210558</v>
      </c>
      <c r="K160" s="13">
        <f>+F160-J160</f>
        <v>587027.11</v>
      </c>
    </row>
    <row r="161" spans="1:11">
      <c r="A161" s="12">
        <v>3800</v>
      </c>
      <c r="B161" s="12" t="s">
        <v>153</v>
      </c>
      <c r="C161" s="13">
        <f>SUM(C162:C164)</f>
        <v>203786</v>
      </c>
      <c r="D161" s="13">
        <f t="shared" ref="D161:I161" si="71">SUM(D162:D164)</f>
        <v>0</v>
      </c>
      <c r="E161" s="13">
        <f t="shared" si="71"/>
        <v>6609.41</v>
      </c>
      <c r="F161" s="13">
        <f t="shared" si="71"/>
        <v>197176.59</v>
      </c>
      <c r="G161" s="13">
        <f t="shared" si="71"/>
        <v>4303.6000000000004</v>
      </c>
      <c r="H161" s="13">
        <f t="shared" si="71"/>
        <v>0</v>
      </c>
      <c r="I161" s="13">
        <f t="shared" si="71"/>
        <v>5220</v>
      </c>
      <c r="J161" s="13">
        <f t="shared" ref="D161:K161" si="72">SUM(J162:J164)</f>
        <v>9523.6</v>
      </c>
      <c r="K161" s="13">
        <f t="shared" si="72"/>
        <v>187652.99</v>
      </c>
    </row>
    <row r="162" spans="1:11">
      <c r="A162" s="12">
        <v>3820</v>
      </c>
      <c r="B162" s="12" t="s">
        <v>154</v>
      </c>
      <c r="C162" s="13">
        <v>0</v>
      </c>
      <c r="D162" s="13">
        <v>0</v>
      </c>
      <c r="E162" s="13">
        <v>0</v>
      </c>
      <c r="F162" s="14">
        <f t="shared" si="66"/>
        <v>0</v>
      </c>
      <c r="G162" s="13">
        <v>0</v>
      </c>
      <c r="H162" s="13">
        <v>0</v>
      </c>
      <c r="I162" s="13">
        <v>0</v>
      </c>
      <c r="J162" s="13">
        <f>+G162+H162+I162</f>
        <v>0</v>
      </c>
      <c r="K162" s="13">
        <f>+F162-J162</f>
        <v>0</v>
      </c>
    </row>
    <row r="163" spans="1:11">
      <c r="A163" s="12">
        <v>3821</v>
      </c>
      <c r="B163" s="12" t="s">
        <v>60</v>
      </c>
      <c r="C163" s="13">
        <v>203786</v>
      </c>
      <c r="D163" s="13">
        <v>0</v>
      </c>
      <c r="E163" s="13">
        <v>6609.41</v>
      </c>
      <c r="F163" s="14">
        <f t="shared" si="66"/>
        <v>197176.59</v>
      </c>
      <c r="G163" s="13">
        <v>4303.6000000000004</v>
      </c>
      <c r="H163" s="13">
        <v>0</v>
      </c>
      <c r="I163" s="13">
        <v>0</v>
      </c>
      <c r="J163" s="13">
        <f>+G163+H163+I163</f>
        <v>4303.6000000000004</v>
      </c>
      <c r="K163" s="13">
        <f>+F163-J163</f>
        <v>192872.99</v>
      </c>
    </row>
    <row r="164" spans="1:11">
      <c r="A164" s="12">
        <v>3831</v>
      </c>
      <c r="B164" s="12" t="s">
        <v>175</v>
      </c>
      <c r="C164" s="13">
        <v>0</v>
      </c>
      <c r="D164" s="13">
        <v>0</v>
      </c>
      <c r="E164" s="13">
        <v>0</v>
      </c>
      <c r="F164" s="14">
        <f t="shared" si="66"/>
        <v>0</v>
      </c>
      <c r="G164" s="13">
        <v>0</v>
      </c>
      <c r="H164" s="13">
        <v>0</v>
      </c>
      <c r="I164" s="13">
        <v>5220</v>
      </c>
      <c r="J164" s="13">
        <f>+G164+H164+I164</f>
        <v>5220</v>
      </c>
      <c r="K164" s="13">
        <f>+F164-J164</f>
        <v>-5220</v>
      </c>
    </row>
    <row r="165" spans="1:11">
      <c r="A165" s="12">
        <v>3900</v>
      </c>
      <c r="B165" s="12" t="s">
        <v>155</v>
      </c>
      <c r="C165" s="13">
        <f>SUM(C166:C170)</f>
        <v>2853900</v>
      </c>
      <c r="D165" s="13">
        <f t="shared" ref="D165:I165" si="73">SUM(D166:D170)</f>
        <v>11.89</v>
      </c>
      <c r="E165" s="13">
        <f t="shared" si="73"/>
        <v>282842.83</v>
      </c>
      <c r="F165" s="13">
        <f t="shared" si="73"/>
        <v>2571069.0600000005</v>
      </c>
      <c r="G165" s="13">
        <f t="shared" si="73"/>
        <v>722832.51</v>
      </c>
      <c r="H165" s="13">
        <f t="shared" si="73"/>
        <v>25859.4</v>
      </c>
      <c r="I165" s="13">
        <f t="shared" si="73"/>
        <v>41005.06</v>
      </c>
      <c r="J165" s="13">
        <f t="shared" ref="D165:K165" si="74">SUM(J166:J170)</f>
        <v>789696.97</v>
      </c>
      <c r="K165" s="13">
        <f t="shared" si="74"/>
        <v>1781372.09</v>
      </c>
    </row>
    <row r="166" spans="1:11">
      <c r="A166" s="12">
        <v>3920</v>
      </c>
      <c r="B166" s="12" t="s">
        <v>156</v>
      </c>
      <c r="C166" s="13">
        <v>0</v>
      </c>
      <c r="D166" s="13">
        <v>0</v>
      </c>
      <c r="E166" s="13">
        <v>0</v>
      </c>
      <c r="F166" s="14">
        <f t="shared" si="66"/>
        <v>0</v>
      </c>
      <c r="G166" s="13">
        <v>0</v>
      </c>
      <c r="H166" s="13">
        <v>0</v>
      </c>
      <c r="I166" s="13">
        <v>0</v>
      </c>
      <c r="J166" s="13">
        <f>+G166+H166+I166</f>
        <v>0</v>
      </c>
      <c r="K166" s="13">
        <f>+F166-J166</f>
        <v>0</v>
      </c>
    </row>
    <row r="167" spans="1:11">
      <c r="A167" s="12">
        <v>3922</v>
      </c>
      <c r="B167" s="12" t="s">
        <v>55</v>
      </c>
      <c r="C167" s="13">
        <v>1250835</v>
      </c>
      <c r="D167" s="13">
        <v>0</v>
      </c>
      <c r="E167" s="13">
        <f>133486.92+42233.93+9003.53</f>
        <v>184724.38</v>
      </c>
      <c r="F167" s="14">
        <f t="shared" si="66"/>
        <v>1066110.6200000001</v>
      </c>
      <c r="G167" s="13">
        <v>173384.28</v>
      </c>
      <c r="H167" s="13">
        <v>23261</v>
      </c>
      <c r="I167" s="13">
        <v>3098.06</v>
      </c>
      <c r="J167" s="13">
        <f>+G167+H167+I167</f>
        <v>199743.34</v>
      </c>
      <c r="K167" s="13">
        <f>+F167-J167</f>
        <v>866367.28000000014</v>
      </c>
    </row>
    <row r="168" spans="1:11">
      <c r="A168" s="12">
        <v>3990</v>
      </c>
      <c r="B168" s="12" t="s">
        <v>157</v>
      </c>
      <c r="C168" s="13">
        <v>0</v>
      </c>
      <c r="D168" s="13">
        <v>0</v>
      </c>
      <c r="E168" s="13">
        <v>0</v>
      </c>
      <c r="F168" s="14">
        <f t="shared" si="66"/>
        <v>0</v>
      </c>
      <c r="G168" s="13">
        <v>0</v>
      </c>
      <c r="H168" s="13">
        <v>0</v>
      </c>
      <c r="I168" s="13">
        <v>0</v>
      </c>
      <c r="J168" s="13">
        <f>+G168+H168+I168</f>
        <v>0</v>
      </c>
      <c r="K168" s="13">
        <f>+F168-J168</f>
        <v>0</v>
      </c>
    </row>
    <row r="169" spans="1:11">
      <c r="A169" s="12">
        <v>3991</v>
      </c>
      <c r="B169" s="12" t="s">
        <v>61</v>
      </c>
      <c r="C169" s="13">
        <v>223674</v>
      </c>
      <c r="D169" s="13">
        <v>11.89</v>
      </c>
      <c r="E169" s="13">
        <v>0</v>
      </c>
      <c r="F169" s="14">
        <f t="shared" si="66"/>
        <v>223685.89</v>
      </c>
      <c r="G169" s="13">
        <v>105342.05</v>
      </c>
      <c r="H169" s="13">
        <v>0</v>
      </c>
      <c r="I169" s="13">
        <v>2305</v>
      </c>
      <c r="J169" s="13">
        <f>+G169+H169+I169</f>
        <v>107647.05</v>
      </c>
      <c r="K169" s="13">
        <f>+F169-J169</f>
        <v>116038.84000000001</v>
      </c>
    </row>
    <row r="170" spans="1:11">
      <c r="A170" s="12">
        <v>3992</v>
      </c>
      <c r="B170" s="12" t="s">
        <v>158</v>
      </c>
      <c r="C170" s="13">
        <v>1379391</v>
      </c>
      <c r="D170" s="13">
        <v>0</v>
      </c>
      <c r="E170" s="13">
        <f>65470.38+16559.23+16088.84</f>
        <v>98118.45</v>
      </c>
      <c r="F170" s="14">
        <f t="shared" si="66"/>
        <v>1281272.55</v>
      </c>
      <c r="G170" s="13">
        <v>444106.18</v>
      </c>
      <c r="H170" s="13">
        <v>2598.4</v>
      </c>
      <c r="I170" s="13">
        <v>35602</v>
      </c>
      <c r="J170" s="13">
        <f>+G170+H170+I170</f>
        <v>482306.58</v>
      </c>
      <c r="K170" s="13">
        <f>+F170-J170</f>
        <v>798965.97</v>
      </c>
    </row>
    <row r="171" spans="1:11">
      <c r="A171" s="12">
        <v>6000</v>
      </c>
      <c r="B171" s="12" t="s">
        <v>159</v>
      </c>
      <c r="C171" s="13">
        <f>+C172</f>
        <v>0</v>
      </c>
      <c r="D171" s="13">
        <f t="shared" ref="D171:K171" si="75">+D172</f>
        <v>87050000</v>
      </c>
      <c r="E171" s="13">
        <f t="shared" si="75"/>
        <v>0</v>
      </c>
      <c r="F171" s="13">
        <f t="shared" si="75"/>
        <v>87050000</v>
      </c>
      <c r="G171" s="13">
        <f t="shared" si="75"/>
        <v>0</v>
      </c>
      <c r="H171" s="13">
        <f t="shared" si="75"/>
        <v>10671894</v>
      </c>
      <c r="I171" s="13">
        <f t="shared" si="75"/>
        <v>0</v>
      </c>
      <c r="J171" s="13">
        <f t="shared" si="75"/>
        <v>10671894</v>
      </c>
      <c r="K171" s="13">
        <f t="shared" si="75"/>
        <v>76378106</v>
      </c>
    </row>
    <row r="172" spans="1:11">
      <c r="A172" s="12">
        <v>6100</v>
      </c>
      <c r="B172" s="12" t="s">
        <v>160</v>
      </c>
      <c r="C172" s="13">
        <f>SUM(C173:C176)</f>
        <v>0</v>
      </c>
      <c r="D172" s="13">
        <f t="shared" ref="D172:K172" si="76">SUM(D173:D176)</f>
        <v>87050000</v>
      </c>
      <c r="E172" s="13">
        <f t="shared" si="76"/>
        <v>0</v>
      </c>
      <c r="F172" s="13">
        <f t="shared" si="76"/>
        <v>87050000</v>
      </c>
      <c r="G172" s="13">
        <f t="shared" si="76"/>
        <v>0</v>
      </c>
      <c r="H172" s="13">
        <f t="shared" si="76"/>
        <v>10671894</v>
      </c>
      <c r="I172" s="13">
        <f t="shared" si="76"/>
        <v>0</v>
      </c>
      <c r="J172" s="13">
        <f t="shared" si="76"/>
        <v>10671894</v>
      </c>
      <c r="K172" s="13">
        <f t="shared" si="76"/>
        <v>76378106</v>
      </c>
    </row>
    <row r="173" spans="1:11">
      <c r="A173" s="12">
        <v>6120</v>
      </c>
      <c r="B173" s="12" t="s">
        <v>161</v>
      </c>
      <c r="C173" s="13">
        <v>0</v>
      </c>
      <c r="D173" s="13">
        <v>0</v>
      </c>
      <c r="E173" s="13">
        <v>0</v>
      </c>
      <c r="F173" s="14">
        <f t="shared" si="66"/>
        <v>0</v>
      </c>
      <c r="G173" s="13">
        <v>0</v>
      </c>
      <c r="H173" s="13">
        <v>0</v>
      </c>
      <c r="I173" s="13">
        <v>0</v>
      </c>
      <c r="J173" s="13">
        <f>+G173+H173+I173</f>
        <v>0</v>
      </c>
      <c r="K173" s="13">
        <f>+F173-J173</f>
        <v>0</v>
      </c>
    </row>
    <row r="174" spans="1:11">
      <c r="A174" s="12">
        <v>6121</v>
      </c>
      <c r="B174" s="23" t="s">
        <v>167</v>
      </c>
      <c r="C174" s="13">
        <v>0</v>
      </c>
      <c r="D174" s="13">
        <v>7058778.8799999999</v>
      </c>
      <c r="E174" s="13">
        <v>0</v>
      </c>
      <c r="F174" s="14">
        <f t="shared" si="66"/>
        <v>7058778.8799999999</v>
      </c>
      <c r="G174" s="13">
        <v>0</v>
      </c>
      <c r="H174" s="13">
        <v>0</v>
      </c>
      <c r="I174" s="13">
        <v>0</v>
      </c>
      <c r="J174" s="13">
        <f>+G174+H174+I174</f>
        <v>0</v>
      </c>
      <c r="K174" s="13">
        <f>+F174-J174</f>
        <v>7058778.8799999999</v>
      </c>
    </row>
    <row r="175" spans="1:11">
      <c r="A175" s="12">
        <v>6124</v>
      </c>
      <c r="B175" s="12" t="s">
        <v>162</v>
      </c>
      <c r="C175" s="13">
        <v>0</v>
      </c>
      <c r="D175" s="14">
        <v>48000000</v>
      </c>
      <c r="E175" s="14">
        <v>0</v>
      </c>
      <c r="F175" s="14">
        <f t="shared" si="66"/>
        <v>48000000</v>
      </c>
      <c r="G175" s="13">
        <v>0</v>
      </c>
      <c r="H175" s="13">
        <v>8000000</v>
      </c>
      <c r="I175" s="13">
        <v>0</v>
      </c>
      <c r="J175" s="13">
        <f>+G175+H175+I175</f>
        <v>8000000</v>
      </c>
      <c r="K175" s="13">
        <f>+F175-J175</f>
        <v>40000000</v>
      </c>
    </row>
    <row r="176" spans="1:11">
      <c r="A176" s="12">
        <v>6125</v>
      </c>
      <c r="B176" s="12" t="s">
        <v>163</v>
      </c>
      <c r="C176" s="13">
        <v>0</v>
      </c>
      <c r="D176" s="14">
        <f>28991221.12+3000000</f>
        <v>31991221.120000001</v>
      </c>
      <c r="E176" s="14">
        <v>0</v>
      </c>
      <c r="F176" s="14">
        <f t="shared" si="66"/>
        <v>31991221.120000001</v>
      </c>
      <c r="G176" s="13">
        <v>0</v>
      </c>
      <c r="H176" s="13">
        <v>2671894</v>
      </c>
      <c r="I176" s="13">
        <v>0</v>
      </c>
      <c r="J176" s="13">
        <f>+G176+H176+I176</f>
        <v>2671894</v>
      </c>
      <c r="K176" s="13">
        <f>+F176-J176</f>
        <v>29319327.120000001</v>
      </c>
    </row>
    <row r="177" spans="1:11">
      <c r="A177" s="12"/>
      <c r="B177" s="18" t="s">
        <v>62</v>
      </c>
      <c r="C177" s="19">
        <f t="shared" ref="C177:K177" si="77">+C11+C55+C99+C171</f>
        <v>184744503</v>
      </c>
      <c r="D177" s="19">
        <f t="shared" si="77"/>
        <v>97405019.980000004</v>
      </c>
      <c r="E177" s="19">
        <f t="shared" si="77"/>
        <v>8138205.0899999999</v>
      </c>
      <c r="F177" s="19">
        <f>+F11+F55+F99+F171</f>
        <v>274011317.88999999</v>
      </c>
      <c r="G177" s="19">
        <f t="shared" si="77"/>
        <v>96128458.359999999</v>
      </c>
      <c r="H177" s="19">
        <f t="shared" si="77"/>
        <v>13375510.73</v>
      </c>
      <c r="I177" s="19">
        <f t="shared" si="77"/>
        <v>214309.13</v>
      </c>
      <c r="J177" s="19">
        <f t="shared" si="77"/>
        <v>109718278.22000001</v>
      </c>
      <c r="K177" s="19">
        <f t="shared" si="77"/>
        <v>164293039.66999999</v>
      </c>
    </row>
    <row r="178" spans="1:11">
      <c r="F178" s="20"/>
      <c r="G178" s="20"/>
      <c r="H178" s="20"/>
      <c r="I178" s="20"/>
      <c r="J178" s="20"/>
      <c r="K178" s="20"/>
    </row>
    <row r="179" spans="1:11">
      <c r="B179" s="5"/>
      <c r="D179" s="6"/>
      <c r="G179" s="6"/>
    </row>
    <row r="180" spans="1:11">
      <c r="A180" s="7"/>
      <c r="B180" s="7"/>
      <c r="C180" s="7"/>
      <c r="D180" s="7"/>
      <c r="E180" s="7"/>
      <c r="F180" s="7"/>
      <c r="G180" s="21"/>
      <c r="H180" s="7"/>
      <c r="I180" s="7"/>
      <c r="J180" s="7"/>
      <c r="K180" s="7"/>
    </row>
    <row r="181" spans="1:11">
      <c r="A181" s="7"/>
      <c r="B181" s="8"/>
      <c r="C181" s="7"/>
      <c r="D181" s="7"/>
      <c r="E181" s="9"/>
      <c r="F181" s="7"/>
      <c r="G181" s="21"/>
      <c r="H181" s="9"/>
      <c r="I181" s="7"/>
      <c r="J181" s="7"/>
      <c r="K181" s="7"/>
    </row>
    <row r="182" spans="1:11">
      <c r="G182" s="20"/>
    </row>
    <row r="183" spans="1:11">
      <c r="G183" s="20"/>
    </row>
    <row r="184" spans="1:11">
      <c r="G184" s="20"/>
    </row>
    <row r="187" spans="1:11">
      <c r="G187" s="20"/>
    </row>
    <row r="188" spans="1:11">
      <c r="G188" s="20"/>
    </row>
    <row r="189" spans="1:11">
      <c r="G189" s="20"/>
    </row>
  </sheetData>
  <autoFilter ref="A10:L177"/>
  <mergeCells count="3">
    <mergeCell ref="A9:K9"/>
    <mergeCell ref="A8:K8"/>
    <mergeCell ref="A7:K7"/>
  </mergeCells>
  <phoneticPr fontId="0" type="noConversion"/>
  <pageMargins left="1.1811023622047245" right="0.19685039370078741" top="0.78740157480314965" bottom="0.78740157480314965" header="1.2598425196850394" footer="0"/>
  <pageSetup paperSize="5" scale="75" fitToHeight="4" orientation="landscape" r:id="rId1"/>
  <headerFooter alignWithMargins="0">
    <oddHeader xml:space="preserve">&amp;R&amp;P               .             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2"/>
  <sheetViews>
    <sheetView topLeftCell="A7" workbookViewId="0">
      <selection activeCell="D23" sqref="D23"/>
    </sheetView>
  </sheetViews>
  <sheetFormatPr baseColWidth="10" defaultRowHeight="15"/>
  <cols>
    <col min="1" max="1" width="11.42578125" style="25"/>
    <col min="2" max="2" width="12.42578125" style="25" bestFit="1" customWidth="1"/>
    <col min="3" max="3" width="11.7109375" style="25" bestFit="1" customWidth="1"/>
    <col min="4" max="4" width="11.5703125" style="34" customWidth="1"/>
    <col min="5" max="5" width="11.5703125" style="34" bestFit="1" customWidth="1"/>
    <col min="6" max="6" width="13.140625" style="25" bestFit="1" customWidth="1"/>
    <col min="7" max="7" width="13.140625" style="25" customWidth="1"/>
    <col min="8" max="16384" width="11.42578125" style="25"/>
  </cols>
  <sheetData>
    <row r="1" spans="1:7">
      <c r="B1" s="32" t="s">
        <v>5</v>
      </c>
      <c r="C1" s="32" t="s">
        <v>6</v>
      </c>
      <c r="D1" s="33" t="s">
        <v>5</v>
      </c>
      <c r="E1" s="33" t="s">
        <v>6</v>
      </c>
      <c r="F1" s="33" t="s">
        <v>5</v>
      </c>
      <c r="G1" s="33" t="s">
        <v>6</v>
      </c>
    </row>
    <row r="2" spans="1:7">
      <c r="A2" s="26">
        <v>1131</v>
      </c>
      <c r="B2" s="27">
        <v>360621.02</v>
      </c>
      <c r="C2" s="27">
        <v>1881321.11</v>
      </c>
      <c r="E2" s="34">
        <f>71498.26+231663.07</f>
        <v>303161.33</v>
      </c>
      <c r="F2" s="36">
        <f t="shared" ref="F2:F33" si="0">+B2+D2</f>
        <v>360621.02</v>
      </c>
      <c r="G2" s="36">
        <f t="shared" ref="G2:G33" si="1">+C2+E2</f>
        <v>2184482.44</v>
      </c>
    </row>
    <row r="3" spans="1:7">
      <c r="A3" s="26">
        <v>1312</v>
      </c>
      <c r="B3" s="27">
        <v>173387.71</v>
      </c>
      <c r="C3" s="27">
        <v>6804.35</v>
      </c>
      <c r="D3" s="34">
        <f>7964.15+29845.24</f>
        <v>37809.39</v>
      </c>
      <c r="F3" s="36">
        <f t="shared" si="0"/>
        <v>211197.09999999998</v>
      </c>
      <c r="G3" s="36">
        <f t="shared" si="1"/>
        <v>6804.35</v>
      </c>
    </row>
    <row r="4" spans="1:7">
      <c r="A4" s="26">
        <v>1321</v>
      </c>
      <c r="B4" s="27">
        <v>14842.85</v>
      </c>
      <c r="C4" s="27">
        <v>0</v>
      </c>
      <c r="D4" s="34">
        <f>16006.37+460.4</f>
        <v>16466.77</v>
      </c>
      <c r="F4" s="36">
        <f t="shared" si="0"/>
        <v>31309.620000000003</v>
      </c>
      <c r="G4" s="36">
        <f t="shared" si="1"/>
        <v>0</v>
      </c>
    </row>
    <row r="5" spans="1:7">
      <c r="A5" s="26">
        <v>1322</v>
      </c>
      <c r="B5" s="27">
        <v>17847.86</v>
      </c>
      <c r="C5" s="27">
        <v>95312.49</v>
      </c>
      <c r="D5" s="34">
        <f>15150.77+1104.96</f>
        <v>16255.73</v>
      </c>
      <c r="F5" s="36">
        <f t="shared" si="0"/>
        <v>34103.589999999997</v>
      </c>
      <c r="G5" s="36">
        <f t="shared" si="1"/>
        <v>95312.49</v>
      </c>
    </row>
    <row r="6" spans="1:7">
      <c r="A6" s="26">
        <v>1344</v>
      </c>
      <c r="B6" s="27">
        <v>599481.01</v>
      </c>
      <c r="C6" s="27">
        <v>8032.51</v>
      </c>
      <c r="D6" s="34">
        <f>87662.62+60621.73+1497.95</f>
        <v>149782.30000000002</v>
      </c>
      <c r="F6" s="36">
        <f t="shared" si="0"/>
        <v>749263.31</v>
      </c>
      <c r="G6" s="36">
        <f t="shared" si="1"/>
        <v>8032.51</v>
      </c>
    </row>
    <row r="7" spans="1:7">
      <c r="A7" s="26">
        <v>1345</v>
      </c>
      <c r="B7" s="27">
        <v>0</v>
      </c>
      <c r="C7" s="27">
        <v>303164.89</v>
      </c>
      <c r="E7" s="34">
        <v>73310.67</v>
      </c>
      <c r="F7" s="36">
        <f t="shared" si="0"/>
        <v>0</v>
      </c>
      <c r="G7" s="36">
        <f t="shared" si="1"/>
        <v>376475.56</v>
      </c>
    </row>
    <row r="8" spans="1:7">
      <c r="A8" s="26">
        <v>1346</v>
      </c>
      <c r="B8" s="27">
        <v>429694.91</v>
      </c>
      <c r="C8" s="27">
        <v>126762.37</v>
      </c>
      <c r="D8" s="34">
        <v>368.32</v>
      </c>
      <c r="F8" s="36">
        <f t="shared" si="0"/>
        <v>430063.23</v>
      </c>
      <c r="G8" s="36">
        <f t="shared" si="1"/>
        <v>126762.37</v>
      </c>
    </row>
    <row r="9" spans="1:7">
      <c r="A9" s="26">
        <v>1347</v>
      </c>
      <c r="B9" s="27">
        <v>0</v>
      </c>
      <c r="C9" s="27">
        <v>0</v>
      </c>
      <c r="E9" s="34">
        <f>23024.89+46048.81+101486.25+46048.81</f>
        <v>216608.76</v>
      </c>
      <c r="F9" s="36">
        <f t="shared" si="0"/>
        <v>0</v>
      </c>
      <c r="G9" s="36">
        <f t="shared" si="1"/>
        <v>216608.76</v>
      </c>
    </row>
    <row r="10" spans="1:7">
      <c r="A10" s="26">
        <v>1349</v>
      </c>
      <c r="B10" s="27">
        <v>28618.69</v>
      </c>
      <c r="C10" s="27">
        <v>451.77</v>
      </c>
      <c r="D10" s="34">
        <v>6597.73</v>
      </c>
      <c r="F10" s="36">
        <f t="shared" si="0"/>
        <v>35216.42</v>
      </c>
      <c r="G10" s="36">
        <f t="shared" si="1"/>
        <v>451.77</v>
      </c>
    </row>
    <row r="11" spans="1:7">
      <c r="A11" s="26">
        <v>1412</v>
      </c>
      <c r="B11" s="27">
        <v>145125.72</v>
      </c>
      <c r="C11" s="27">
        <v>100</v>
      </c>
      <c r="D11" s="34">
        <v>39437.839999999997</v>
      </c>
      <c r="F11" s="36">
        <f t="shared" si="0"/>
        <v>184563.56</v>
      </c>
      <c r="G11" s="36">
        <f t="shared" si="1"/>
        <v>100</v>
      </c>
    </row>
    <row r="12" spans="1:7">
      <c r="A12" s="26">
        <v>1413</v>
      </c>
      <c r="B12" s="27">
        <f>187457.99+43943.83</f>
        <v>231401.82</v>
      </c>
      <c r="C12" s="27">
        <v>0</v>
      </c>
      <c r="D12" s="34">
        <f>6915.14+43943.83</f>
        <v>50858.97</v>
      </c>
      <c r="E12" s="34">
        <v>46048.81</v>
      </c>
      <c r="F12" s="36">
        <f t="shared" si="0"/>
        <v>282260.79000000004</v>
      </c>
      <c r="G12" s="36">
        <f t="shared" si="1"/>
        <v>46048.81</v>
      </c>
    </row>
    <row r="13" spans="1:7">
      <c r="A13" s="26">
        <v>1414</v>
      </c>
      <c r="B13" s="27">
        <v>12141.91</v>
      </c>
      <c r="C13" s="27">
        <v>0</v>
      </c>
      <c r="D13" s="34">
        <v>4645.76</v>
      </c>
      <c r="F13" s="36">
        <f t="shared" si="0"/>
        <v>16787.669999999998</v>
      </c>
      <c r="G13" s="36">
        <f t="shared" si="1"/>
        <v>0</v>
      </c>
    </row>
    <row r="14" spans="1:7">
      <c r="A14" s="26">
        <v>1415</v>
      </c>
      <c r="B14" s="27">
        <v>24525.89</v>
      </c>
      <c r="C14" s="27">
        <v>0</v>
      </c>
      <c r="D14" s="34">
        <v>6839.33</v>
      </c>
      <c r="F14" s="36">
        <f t="shared" si="0"/>
        <v>31365.22</v>
      </c>
      <c r="G14" s="36">
        <f t="shared" si="1"/>
        <v>0</v>
      </c>
    </row>
    <row r="15" spans="1:7">
      <c r="A15" s="26">
        <v>1416</v>
      </c>
      <c r="B15" s="27">
        <v>33582.42</v>
      </c>
      <c r="C15" s="27">
        <v>0</v>
      </c>
      <c r="D15" s="34">
        <v>9186.0300000000007</v>
      </c>
      <c r="F15" s="36">
        <f t="shared" si="0"/>
        <v>42768.45</v>
      </c>
      <c r="G15" s="36">
        <f t="shared" si="1"/>
        <v>0</v>
      </c>
    </row>
    <row r="16" spans="1:7">
      <c r="A16" s="26">
        <v>1441</v>
      </c>
      <c r="B16" s="27">
        <v>0</v>
      </c>
      <c r="C16" s="27">
        <v>763485</v>
      </c>
      <c r="F16" s="36">
        <f t="shared" si="0"/>
        <v>0</v>
      </c>
      <c r="G16" s="36">
        <f t="shared" si="1"/>
        <v>763485</v>
      </c>
    </row>
    <row r="17" spans="1:7">
      <c r="A17" s="26">
        <v>1511</v>
      </c>
      <c r="B17" s="27">
        <v>115347.23</v>
      </c>
      <c r="C17" s="27">
        <v>0</v>
      </c>
      <c r="D17" s="34">
        <f>23315.67+17276.6</f>
        <v>40592.269999999997</v>
      </c>
      <c r="E17" s="34">
        <f>2505.51+5011.02</f>
        <v>7516.5300000000007</v>
      </c>
      <c r="F17" s="36">
        <f t="shared" si="0"/>
        <v>155939.5</v>
      </c>
      <c r="G17" s="36">
        <f t="shared" si="1"/>
        <v>7516.5300000000007</v>
      </c>
    </row>
    <row r="18" spans="1:7">
      <c r="A18" s="26">
        <v>1512</v>
      </c>
      <c r="B18" s="27">
        <v>1360.61</v>
      </c>
      <c r="C18" s="27">
        <v>4443.1099999999997</v>
      </c>
      <c r="D18" s="34">
        <v>5190.75</v>
      </c>
      <c r="F18" s="36">
        <f t="shared" si="0"/>
        <v>6551.36</v>
      </c>
      <c r="G18" s="36">
        <f t="shared" si="1"/>
        <v>4443.1099999999997</v>
      </c>
    </row>
    <row r="19" spans="1:7">
      <c r="A19" s="26">
        <v>1522</v>
      </c>
      <c r="B19" s="27">
        <v>1716814.89</v>
      </c>
      <c r="C19" s="27">
        <v>0</v>
      </c>
      <c r="F19" s="36">
        <f t="shared" si="0"/>
        <v>1716814.89</v>
      </c>
      <c r="G19" s="36">
        <f t="shared" si="1"/>
        <v>0</v>
      </c>
    </row>
    <row r="20" spans="1:7">
      <c r="A20" s="26">
        <v>1531</v>
      </c>
      <c r="B20" s="27">
        <v>102000</v>
      </c>
      <c r="C20" s="27">
        <v>0</v>
      </c>
      <c r="D20" s="34">
        <f>68000+34000</f>
        <v>102000</v>
      </c>
      <c r="F20" s="36">
        <f t="shared" si="0"/>
        <v>204000</v>
      </c>
      <c r="G20" s="36">
        <f t="shared" si="1"/>
        <v>0</v>
      </c>
    </row>
    <row r="21" spans="1:7">
      <c r="A21" s="26">
        <v>1541</v>
      </c>
      <c r="B21" s="27">
        <v>11434.65</v>
      </c>
      <c r="C21" s="27">
        <v>40326.049999999996</v>
      </c>
      <c r="E21" s="34">
        <f>5842.31+55.54</f>
        <v>5897.85</v>
      </c>
      <c r="F21" s="36">
        <f t="shared" si="0"/>
        <v>11434.65</v>
      </c>
      <c r="G21" s="36">
        <f t="shared" si="1"/>
        <v>46223.899999999994</v>
      </c>
    </row>
    <row r="22" spans="1:7">
      <c r="A22" s="26">
        <v>1542</v>
      </c>
      <c r="B22" s="27">
        <v>537847.02</v>
      </c>
      <c r="C22" s="27">
        <v>304097.25999999995</v>
      </c>
      <c r="F22" s="36">
        <f t="shared" si="0"/>
        <v>537847.02</v>
      </c>
      <c r="G22" s="36">
        <f t="shared" si="1"/>
        <v>304097.25999999995</v>
      </c>
    </row>
    <row r="23" spans="1:7">
      <c r="A23" s="26">
        <v>1546</v>
      </c>
      <c r="B23" s="27">
        <f>741493.67+7116</f>
        <v>748609.67</v>
      </c>
      <c r="C23" s="27">
        <v>376148.00999999995</v>
      </c>
      <c r="D23" s="34">
        <f>17226+194231.44+7116</f>
        <v>218573.44</v>
      </c>
      <c r="E23" s="34">
        <v>5011.0200000000004</v>
      </c>
      <c r="F23" s="36">
        <f t="shared" si="0"/>
        <v>967183.1100000001</v>
      </c>
      <c r="G23" s="36">
        <f t="shared" si="1"/>
        <v>381159.02999999997</v>
      </c>
    </row>
    <row r="24" spans="1:7">
      <c r="A24" s="26">
        <v>1565</v>
      </c>
      <c r="B24" s="27">
        <v>8442.48</v>
      </c>
      <c r="C24" s="27">
        <v>47656.009999999995</v>
      </c>
      <c r="E24" s="34">
        <v>8279.2999999999993</v>
      </c>
      <c r="F24" s="36">
        <f t="shared" si="0"/>
        <v>8442.48</v>
      </c>
      <c r="G24" s="36">
        <f t="shared" si="1"/>
        <v>55935.31</v>
      </c>
    </row>
    <row r="25" spans="1:7">
      <c r="A25" s="26">
        <v>1712</v>
      </c>
      <c r="B25" s="27">
        <v>591150.73</v>
      </c>
      <c r="C25" s="27">
        <v>274865.77</v>
      </c>
      <c r="E25" s="34">
        <f>22336.19+44672.38+22821.62</f>
        <v>89830.189999999988</v>
      </c>
      <c r="F25" s="36">
        <f t="shared" si="0"/>
        <v>591150.73</v>
      </c>
      <c r="G25" s="36">
        <f t="shared" si="1"/>
        <v>364695.96</v>
      </c>
    </row>
    <row r="26" spans="1:7">
      <c r="A26" s="28">
        <v>1811</v>
      </c>
      <c r="B26" s="27">
        <v>96566.33</v>
      </c>
      <c r="C26" s="27">
        <v>0</v>
      </c>
      <c r="F26" s="36">
        <f t="shared" si="0"/>
        <v>96566.33</v>
      </c>
      <c r="G26" s="36">
        <f t="shared" si="1"/>
        <v>0</v>
      </c>
    </row>
    <row r="27" spans="1:7">
      <c r="A27" s="26">
        <v>2111</v>
      </c>
      <c r="B27" s="27">
        <v>101614.32</v>
      </c>
      <c r="C27" s="27">
        <v>0</v>
      </c>
      <c r="D27" s="34">
        <f>888.45+3528.35+2194.45</f>
        <v>6611.25</v>
      </c>
      <c r="F27" s="36">
        <f t="shared" si="0"/>
        <v>108225.57</v>
      </c>
      <c r="G27" s="36">
        <f t="shared" si="1"/>
        <v>0</v>
      </c>
    </row>
    <row r="28" spans="1:7">
      <c r="A28" s="26">
        <v>2141</v>
      </c>
      <c r="B28" s="27">
        <v>185482.81</v>
      </c>
      <c r="C28" s="27">
        <v>0</v>
      </c>
      <c r="D28" s="34">
        <v>5770.3</v>
      </c>
      <c r="F28" s="36">
        <f t="shared" si="0"/>
        <v>191253.11</v>
      </c>
      <c r="G28" s="36">
        <f t="shared" si="1"/>
        <v>0</v>
      </c>
    </row>
    <row r="29" spans="1:7">
      <c r="A29" s="26">
        <v>2151</v>
      </c>
      <c r="B29" s="27">
        <v>59</v>
      </c>
      <c r="C29" s="27">
        <v>0</v>
      </c>
      <c r="D29" s="34">
        <v>119</v>
      </c>
      <c r="F29" s="36">
        <f t="shared" si="0"/>
        <v>178</v>
      </c>
      <c r="G29" s="36">
        <f t="shared" si="1"/>
        <v>0</v>
      </c>
    </row>
    <row r="30" spans="1:7">
      <c r="A30" s="26">
        <v>2161</v>
      </c>
      <c r="B30" s="27">
        <v>41643.519999999997</v>
      </c>
      <c r="C30" s="27">
        <v>0</v>
      </c>
      <c r="E30" s="34">
        <f>147.44+371.51</f>
        <v>518.95000000000005</v>
      </c>
      <c r="F30" s="36">
        <f t="shared" si="0"/>
        <v>41643.519999999997</v>
      </c>
      <c r="G30" s="36">
        <f t="shared" si="1"/>
        <v>518.95000000000005</v>
      </c>
    </row>
    <row r="31" spans="1:7">
      <c r="A31" s="26">
        <v>2461</v>
      </c>
      <c r="B31" s="27">
        <v>35905.61</v>
      </c>
      <c r="C31" s="27">
        <v>0</v>
      </c>
      <c r="D31" s="34">
        <v>5745.48</v>
      </c>
      <c r="F31" s="36">
        <f t="shared" si="0"/>
        <v>41651.089999999997</v>
      </c>
      <c r="G31" s="36">
        <f t="shared" si="1"/>
        <v>0</v>
      </c>
    </row>
    <row r="32" spans="1:7">
      <c r="A32" s="26">
        <v>2481</v>
      </c>
      <c r="B32" s="27">
        <v>2157.6</v>
      </c>
      <c r="C32" s="27">
        <v>0</v>
      </c>
      <c r="D32" s="34">
        <v>703.59</v>
      </c>
      <c r="F32" s="36">
        <f t="shared" si="0"/>
        <v>2861.19</v>
      </c>
      <c r="G32" s="36">
        <f t="shared" si="1"/>
        <v>0</v>
      </c>
    </row>
    <row r="33" spans="1:11">
      <c r="A33" s="26">
        <v>2531</v>
      </c>
      <c r="B33" s="27">
        <v>0</v>
      </c>
      <c r="C33" s="27">
        <v>0</v>
      </c>
      <c r="E33" s="34">
        <f>12488.75+2194.45</f>
        <v>14683.2</v>
      </c>
      <c r="F33" s="36">
        <f t="shared" si="0"/>
        <v>0</v>
      </c>
      <c r="G33" s="36">
        <f t="shared" si="1"/>
        <v>14683.2</v>
      </c>
    </row>
    <row r="34" spans="1:11">
      <c r="A34" s="26">
        <v>2611</v>
      </c>
      <c r="B34" s="27">
        <v>0</v>
      </c>
      <c r="C34" s="27">
        <v>368606.80000000005</v>
      </c>
      <c r="E34" s="34">
        <f>11907.99+1507.05</f>
        <v>13415.039999999999</v>
      </c>
      <c r="F34" s="36">
        <f t="shared" ref="F34:F60" si="2">+B34+D34</f>
        <v>0</v>
      </c>
      <c r="G34" s="36">
        <f t="shared" ref="G34:G60" si="3">+C34+E34</f>
        <v>382021.84</v>
      </c>
    </row>
    <row r="35" spans="1:11">
      <c r="A35" s="26">
        <v>2721</v>
      </c>
      <c r="B35" s="27">
        <v>1743.94</v>
      </c>
      <c r="C35" s="27">
        <v>0</v>
      </c>
      <c r="F35" s="36">
        <f t="shared" si="2"/>
        <v>1743.94</v>
      </c>
      <c r="G35" s="36">
        <f t="shared" si="3"/>
        <v>0</v>
      </c>
    </row>
    <row r="36" spans="1:11">
      <c r="A36" s="26">
        <v>2941</v>
      </c>
      <c r="B36" s="27">
        <v>0</v>
      </c>
      <c r="C36" s="27">
        <v>0</v>
      </c>
      <c r="D36" s="34">
        <v>9667.57</v>
      </c>
      <c r="F36" s="36">
        <f t="shared" si="2"/>
        <v>9667.57</v>
      </c>
      <c r="G36" s="36">
        <f t="shared" si="3"/>
        <v>0</v>
      </c>
    </row>
    <row r="37" spans="1:11">
      <c r="A37" s="26">
        <v>3111</v>
      </c>
      <c r="B37" s="27">
        <v>114113.08000000002</v>
      </c>
      <c r="C37" s="27">
        <v>0</v>
      </c>
      <c r="F37" s="36">
        <f t="shared" si="2"/>
        <v>114113.08000000002</v>
      </c>
      <c r="G37" s="36">
        <f t="shared" si="3"/>
        <v>0</v>
      </c>
    </row>
    <row r="38" spans="1:11">
      <c r="A38" s="26">
        <v>3141</v>
      </c>
      <c r="B38" s="27">
        <v>0</v>
      </c>
      <c r="C38" s="27">
        <v>55449.51</v>
      </c>
      <c r="D38" s="34">
        <v>55133.599999999999</v>
      </c>
      <c r="F38" s="36">
        <f t="shared" si="2"/>
        <v>55133.599999999999</v>
      </c>
      <c r="G38" s="36">
        <f t="shared" si="3"/>
        <v>55449.51</v>
      </c>
    </row>
    <row r="39" spans="1:11">
      <c r="A39" s="26">
        <v>3151</v>
      </c>
      <c r="B39" s="27">
        <v>15469.01</v>
      </c>
      <c r="C39" s="27">
        <v>0</v>
      </c>
      <c r="D39" s="34">
        <v>11992</v>
      </c>
      <c r="F39" s="36">
        <f t="shared" si="2"/>
        <v>27461.010000000002</v>
      </c>
      <c r="G39" s="36">
        <f t="shared" si="3"/>
        <v>0</v>
      </c>
    </row>
    <row r="40" spans="1:11">
      <c r="A40" s="26">
        <v>3181</v>
      </c>
      <c r="B40" s="27">
        <v>5867.4600000000009</v>
      </c>
      <c r="C40" s="27">
        <v>0</v>
      </c>
      <c r="F40" s="36">
        <f t="shared" si="2"/>
        <v>5867.4600000000009</v>
      </c>
      <c r="G40" s="36">
        <f t="shared" si="3"/>
        <v>0</v>
      </c>
    </row>
    <row r="41" spans="1:11">
      <c r="A41" s="26">
        <v>3221</v>
      </c>
      <c r="B41" s="27">
        <v>28827.87</v>
      </c>
      <c r="C41" s="27">
        <v>0</v>
      </c>
      <c r="D41" s="34">
        <v>9699.14</v>
      </c>
      <c r="F41" s="36">
        <f t="shared" si="2"/>
        <v>38527.009999999995</v>
      </c>
      <c r="G41" s="36">
        <f t="shared" si="3"/>
        <v>0</v>
      </c>
    </row>
    <row r="42" spans="1:11">
      <c r="A42" s="26">
        <v>3251</v>
      </c>
      <c r="B42" s="27">
        <v>135675.68</v>
      </c>
      <c r="C42" s="27">
        <v>0</v>
      </c>
      <c r="D42" s="34">
        <v>53093.19</v>
      </c>
      <c r="F42" s="36">
        <f t="shared" si="2"/>
        <v>188768.87</v>
      </c>
      <c r="G42" s="36">
        <f t="shared" si="3"/>
        <v>0</v>
      </c>
    </row>
    <row r="43" spans="1:11">
      <c r="A43" s="26">
        <v>3261</v>
      </c>
      <c r="B43" s="27">
        <v>10773.11</v>
      </c>
      <c r="C43" s="27">
        <v>0</v>
      </c>
      <c r="F43" s="36">
        <f t="shared" si="2"/>
        <v>10773.11</v>
      </c>
      <c r="G43" s="36">
        <f t="shared" si="3"/>
        <v>0</v>
      </c>
    </row>
    <row r="44" spans="1:11">
      <c r="A44" s="28">
        <v>3311</v>
      </c>
      <c r="B44" s="27">
        <v>66104.5</v>
      </c>
      <c r="C44" s="27">
        <v>0</v>
      </c>
      <c r="F44" s="36">
        <f t="shared" si="2"/>
        <v>66104.5</v>
      </c>
      <c r="G44" s="36">
        <f t="shared" si="3"/>
        <v>0</v>
      </c>
    </row>
    <row r="45" spans="1:11">
      <c r="A45" s="26">
        <v>3331</v>
      </c>
      <c r="B45" s="27">
        <v>500000</v>
      </c>
      <c r="C45" s="27">
        <v>0</v>
      </c>
      <c r="F45" s="36">
        <f t="shared" si="2"/>
        <v>500000</v>
      </c>
      <c r="G45" s="36">
        <f t="shared" si="3"/>
        <v>0</v>
      </c>
    </row>
    <row r="46" spans="1:11">
      <c r="A46" s="26">
        <v>3341</v>
      </c>
      <c r="B46" s="27">
        <v>3300</v>
      </c>
      <c r="C46" s="27">
        <v>0</v>
      </c>
      <c r="F46" s="36">
        <f t="shared" si="2"/>
        <v>3300</v>
      </c>
      <c r="G46" s="36">
        <f t="shared" si="3"/>
        <v>0</v>
      </c>
    </row>
    <row r="47" spans="1:11">
      <c r="A47" s="29">
        <v>3361</v>
      </c>
      <c r="B47" s="30">
        <v>689.04</v>
      </c>
      <c r="C47" s="30">
        <v>0</v>
      </c>
      <c r="D47" s="35">
        <v>580</v>
      </c>
      <c r="E47" s="35"/>
      <c r="F47" s="36">
        <f t="shared" si="2"/>
        <v>1269.04</v>
      </c>
      <c r="G47" s="36">
        <f t="shared" si="3"/>
        <v>0</v>
      </c>
      <c r="H47" s="31"/>
      <c r="I47" s="31"/>
      <c r="J47" s="31"/>
      <c r="K47" s="31"/>
    </row>
    <row r="48" spans="1:11">
      <c r="A48" s="26">
        <v>3381</v>
      </c>
      <c r="B48" s="27">
        <v>0</v>
      </c>
      <c r="C48" s="27">
        <v>14125.96</v>
      </c>
      <c r="F48" s="36">
        <f t="shared" si="2"/>
        <v>0</v>
      </c>
      <c r="G48" s="36">
        <f t="shared" si="3"/>
        <v>14125.96</v>
      </c>
    </row>
    <row r="49" spans="1:7">
      <c r="A49" s="26">
        <v>3411</v>
      </c>
      <c r="B49" s="27">
        <v>2286.08</v>
      </c>
      <c r="C49" s="27">
        <v>0</v>
      </c>
      <c r="D49" s="34">
        <v>8215.66</v>
      </c>
      <c r="F49" s="36">
        <f t="shared" si="2"/>
        <v>10501.74</v>
      </c>
      <c r="G49" s="36">
        <f t="shared" si="3"/>
        <v>0</v>
      </c>
    </row>
    <row r="50" spans="1:7">
      <c r="A50" s="26">
        <v>3451</v>
      </c>
      <c r="B50" s="27">
        <v>153600.86000000002</v>
      </c>
      <c r="C50" s="27">
        <v>0</v>
      </c>
      <c r="D50" s="34">
        <v>38847.769999999997</v>
      </c>
      <c r="F50" s="36">
        <f t="shared" si="2"/>
        <v>192448.63</v>
      </c>
      <c r="G50" s="36">
        <f t="shared" si="3"/>
        <v>0</v>
      </c>
    </row>
    <row r="51" spans="1:7">
      <c r="A51" s="26">
        <v>3471</v>
      </c>
      <c r="B51" s="27">
        <v>0</v>
      </c>
      <c r="C51" s="27">
        <v>35826.1</v>
      </c>
      <c r="F51" s="36">
        <f t="shared" si="2"/>
        <v>0</v>
      </c>
      <c r="G51" s="36">
        <f t="shared" si="3"/>
        <v>35826.1</v>
      </c>
    </row>
    <row r="52" spans="1:7">
      <c r="A52" s="26">
        <v>3511</v>
      </c>
      <c r="B52" s="27">
        <v>13172</v>
      </c>
      <c r="C52" s="27">
        <v>104586.33</v>
      </c>
      <c r="E52" s="34">
        <v>185684.71</v>
      </c>
      <c r="F52" s="36">
        <f t="shared" si="2"/>
        <v>13172</v>
      </c>
      <c r="G52" s="36">
        <f t="shared" si="3"/>
        <v>290271.03999999998</v>
      </c>
    </row>
    <row r="53" spans="1:7">
      <c r="A53" s="26">
        <v>3531</v>
      </c>
      <c r="B53" s="27">
        <v>0</v>
      </c>
      <c r="C53" s="27">
        <v>387.03</v>
      </c>
      <c r="D53" s="34">
        <v>2602.75</v>
      </c>
      <c r="F53" s="36">
        <f t="shared" si="2"/>
        <v>2602.75</v>
      </c>
      <c r="G53" s="36">
        <f t="shared" si="3"/>
        <v>387.03</v>
      </c>
    </row>
    <row r="54" spans="1:7">
      <c r="A54" s="26">
        <v>3551</v>
      </c>
      <c r="B54" s="27">
        <v>0</v>
      </c>
      <c r="C54" s="27">
        <v>87184.31</v>
      </c>
      <c r="F54" s="36">
        <f t="shared" si="2"/>
        <v>0</v>
      </c>
      <c r="G54" s="36">
        <f t="shared" si="3"/>
        <v>87184.31</v>
      </c>
    </row>
    <row r="55" spans="1:7">
      <c r="A55" s="26">
        <v>3581</v>
      </c>
      <c r="B55" s="27">
        <v>0</v>
      </c>
      <c r="C55" s="27">
        <v>225840.69</v>
      </c>
      <c r="F55" s="36">
        <f t="shared" si="2"/>
        <v>0</v>
      </c>
      <c r="G55" s="36">
        <f t="shared" si="3"/>
        <v>225840.69</v>
      </c>
    </row>
    <row r="56" spans="1:7">
      <c r="A56" s="26">
        <v>3612</v>
      </c>
      <c r="B56" s="27">
        <v>183403.41999999998</v>
      </c>
      <c r="C56" s="27">
        <v>0</v>
      </c>
      <c r="F56" s="36">
        <f t="shared" si="2"/>
        <v>183403.41999999998</v>
      </c>
      <c r="G56" s="36">
        <f t="shared" si="3"/>
        <v>0</v>
      </c>
    </row>
    <row r="57" spans="1:7">
      <c r="A57" s="26">
        <v>3751</v>
      </c>
      <c r="B57" s="27">
        <v>12246</v>
      </c>
      <c r="C57" s="27">
        <v>0</v>
      </c>
      <c r="D57" s="34">
        <v>5520.6</v>
      </c>
      <c r="F57" s="36">
        <f t="shared" si="2"/>
        <v>17766.599999999999</v>
      </c>
      <c r="G57" s="36">
        <f t="shared" si="3"/>
        <v>0</v>
      </c>
    </row>
    <row r="58" spans="1:7">
      <c r="A58" s="26">
        <v>3791</v>
      </c>
      <c r="B58" s="27">
        <v>0</v>
      </c>
      <c r="C58" s="27">
        <v>23170.879999999997</v>
      </c>
      <c r="F58" s="36">
        <f t="shared" si="2"/>
        <v>0</v>
      </c>
      <c r="G58" s="36">
        <f t="shared" si="3"/>
        <v>23170.879999999997</v>
      </c>
    </row>
    <row r="59" spans="1:7">
      <c r="A59" s="26">
        <v>3922</v>
      </c>
      <c r="B59" s="27">
        <v>0</v>
      </c>
      <c r="C59" s="27">
        <v>133486.91999999998</v>
      </c>
      <c r="F59" s="36">
        <f t="shared" si="2"/>
        <v>0</v>
      </c>
      <c r="G59" s="36">
        <f t="shared" si="3"/>
        <v>133486.91999999998</v>
      </c>
    </row>
    <row r="60" spans="1:7">
      <c r="A60" s="26">
        <v>3992</v>
      </c>
      <c r="B60" s="27">
        <v>0</v>
      </c>
      <c r="C60" s="27">
        <v>65470.380000000005</v>
      </c>
      <c r="F60" s="36">
        <f t="shared" si="2"/>
        <v>0</v>
      </c>
      <c r="G60" s="36">
        <f t="shared" si="3"/>
        <v>65470.380000000005</v>
      </c>
    </row>
    <row r="61" spans="1:7">
      <c r="A61" s="26" t="s">
        <v>171</v>
      </c>
      <c r="B61" s="27">
        <f t="shared" ref="B61:G61" si="4">SUM(B2:B60)</f>
        <v>7614980.3300000001</v>
      </c>
      <c r="C61" s="27">
        <f t="shared" si="4"/>
        <v>5347105.6099999985</v>
      </c>
      <c r="D61" s="34">
        <f t="shared" si="4"/>
        <v>918906.53</v>
      </c>
      <c r="E61" s="34">
        <f t="shared" si="4"/>
        <v>969966.36</v>
      </c>
      <c r="F61" s="34">
        <f t="shared" si="4"/>
        <v>8533886.8600000013</v>
      </c>
      <c r="G61" s="34">
        <f t="shared" si="4"/>
        <v>6317071.9699999988</v>
      </c>
    </row>
    <row r="62" spans="1:7">
      <c r="F62" s="36"/>
    </row>
  </sheetData>
  <autoFilter ref="A1:K1">
    <filterColumn colId="2"/>
    <filterColumn colId="4"/>
    <filterColumn colId="6"/>
    <sortState ref="A2:M243">
      <sortCondition ref="A1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61"/>
  <sheetViews>
    <sheetView topLeftCell="A38" workbookViewId="0">
      <selection activeCell="A61" sqref="A61"/>
    </sheetView>
  </sheetViews>
  <sheetFormatPr baseColWidth="10" defaultRowHeight="15"/>
  <cols>
    <col min="1" max="1" width="13.140625" style="25" bestFit="1" customWidth="1"/>
    <col min="2" max="2" width="13.140625" style="34" bestFit="1" customWidth="1"/>
  </cols>
  <sheetData>
    <row r="1" spans="1:3">
      <c r="B1" s="33" t="s">
        <v>6</v>
      </c>
    </row>
    <row r="2" spans="1:3">
      <c r="A2" s="27">
        <v>360621.02</v>
      </c>
      <c r="B2" s="34">
        <v>303161.33</v>
      </c>
      <c r="C2" s="37">
        <f>+A2+B2</f>
        <v>663782.35000000009</v>
      </c>
    </row>
    <row r="3" spans="1:3">
      <c r="A3" s="27">
        <v>173387.71</v>
      </c>
      <c r="C3" s="37">
        <f t="shared" ref="C3:C60" si="0">+A3+B3</f>
        <v>173387.71</v>
      </c>
    </row>
    <row r="4" spans="1:3">
      <c r="A4" s="27">
        <v>14842.85</v>
      </c>
      <c r="C4" s="37">
        <f t="shared" si="0"/>
        <v>14842.85</v>
      </c>
    </row>
    <row r="5" spans="1:3">
      <c r="A5" s="27">
        <v>17847.86</v>
      </c>
      <c r="C5" s="37">
        <f t="shared" si="0"/>
        <v>17847.86</v>
      </c>
    </row>
    <row r="6" spans="1:3">
      <c r="A6" s="27">
        <v>599481.01</v>
      </c>
      <c r="C6" s="37">
        <f t="shared" si="0"/>
        <v>599481.01</v>
      </c>
    </row>
    <row r="7" spans="1:3">
      <c r="A7" s="27">
        <v>0</v>
      </c>
      <c r="B7" s="34">
        <v>73310.67</v>
      </c>
      <c r="C7" s="37">
        <f t="shared" si="0"/>
        <v>73310.67</v>
      </c>
    </row>
    <row r="8" spans="1:3">
      <c r="A8" s="27">
        <v>429694.91</v>
      </c>
      <c r="C8" s="37">
        <f t="shared" si="0"/>
        <v>429694.91</v>
      </c>
    </row>
    <row r="9" spans="1:3">
      <c r="A9" s="27">
        <v>0</v>
      </c>
      <c r="B9" s="34">
        <v>216608.76</v>
      </c>
      <c r="C9" s="37">
        <f t="shared" si="0"/>
        <v>216608.76</v>
      </c>
    </row>
    <row r="10" spans="1:3">
      <c r="A10" s="27">
        <v>28618.69</v>
      </c>
      <c r="C10" s="37">
        <f t="shared" si="0"/>
        <v>28618.69</v>
      </c>
    </row>
    <row r="11" spans="1:3">
      <c r="A11" s="27">
        <v>145125.72</v>
      </c>
      <c r="C11" s="37">
        <f t="shared" si="0"/>
        <v>145125.72</v>
      </c>
    </row>
    <row r="12" spans="1:3">
      <c r="A12" s="27">
        <v>231401.82</v>
      </c>
      <c r="C12" s="37">
        <f t="shared" si="0"/>
        <v>231401.82</v>
      </c>
    </row>
    <row r="13" spans="1:3">
      <c r="A13" s="27">
        <v>12141.91</v>
      </c>
      <c r="C13" s="37">
        <f t="shared" si="0"/>
        <v>12141.91</v>
      </c>
    </row>
    <row r="14" spans="1:3">
      <c r="A14" s="27">
        <v>24525.89</v>
      </c>
      <c r="C14" s="37">
        <f t="shared" si="0"/>
        <v>24525.89</v>
      </c>
    </row>
    <row r="15" spans="1:3">
      <c r="A15" s="27">
        <v>33582.42</v>
      </c>
      <c r="C15" s="37">
        <f t="shared" si="0"/>
        <v>33582.42</v>
      </c>
    </row>
    <row r="16" spans="1:3">
      <c r="A16" s="27">
        <v>0</v>
      </c>
      <c r="C16" s="37">
        <f t="shared" si="0"/>
        <v>0</v>
      </c>
    </row>
    <row r="17" spans="1:3">
      <c r="A17" s="27">
        <v>115347.23</v>
      </c>
      <c r="B17" s="34">
        <v>7516.5300000000007</v>
      </c>
      <c r="C17" s="37">
        <f t="shared" si="0"/>
        <v>122863.76</v>
      </c>
    </row>
    <row r="18" spans="1:3">
      <c r="A18" s="27">
        <v>1360.61</v>
      </c>
      <c r="C18" s="37">
        <f t="shared" si="0"/>
        <v>1360.61</v>
      </c>
    </row>
    <row r="19" spans="1:3">
      <c r="A19" s="27">
        <v>1716814.89</v>
      </c>
      <c r="C19" s="37">
        <f t="shared" si="0"/>
        <v>1716814.89</v>
      </c>
    </row>
    <row r="20" spans="1:3">
      <c r="A20" s="27">
        <v>102000</v>
      </c>
      <c r="C20" s="37">
        <f t="shared" si="0"/>
        <v>102000</v>
      </c>
    </row>
    <row r="21" spans="1:3">
      <c r="A21" s="27">
        <v>11434.65</v>
      </c>
      <c r="B21" s="34">
        <v>5897.85</v>
      </c>
      <c r="C21" s="37">
        <f t="shared" si="0"/>
        <v>17332.5</v>
      </c>
    </row>
    <row r="22" spans="1:3">
      <c r="A22" s="27">
        <v>537847.02</v>
      </c>
      <c r="C22" s="37">
        <f t="shared" si="0"/>
        <v>537847.02</v>
      </c>
    </row>
    <row r="23" spans="1:3">
      <c r="A23" s="27">
        <v>748609.67</v>
      </c>
      <c r="C23" s="37">
        <f t="shared" si="0"/>
        <v>748609.67</v>
      </c>
    </row>
    <row r="24" spans="1:3">
      <c r="A24" s="27">
        <v>8442.48</v>
      </c>
      <c r="B24" s="34">
        <v>8279.2999999999993</v>
      </c>
      <c r="C24" s="37">
        <f t="shared" si="0"/>
        <v>16721.78</v>
      </c>
    </row>
    <row r="25" spans="1:3">
      <c r="A25" s="27">
        <v>591150.73</v>
      </c>
      <c r="B25" s="34">
        <v>89830.189999999988</v>
      </c>
      <c r="C25" s="37">
        <f t="shared" si="0"/>
        <v>680980.91999999993</v>
      </c>
    </row>
    <row r="26" spans="1:3">
      <c r="A26" s="27">
        <v>96566.33</v>
      </c>
      <c r="C26" s="37">
        <f t="shared" si="0"/>
        <v>96566.33</v>
      </c>
    </row>
    <row r="27" spans="1:3">
      <c r="A27" s="27">
        <v>101614.32</v>
      </c>
      <c r="C27" s="37">
        <f t="shared" si="0"/>
        <v>101614.32</v>
      </c>
    </row>
    <row r="28" spans="1:3">
      <c r="A28" s="27">
        <v>185482.81</v>
      </c>
      <c r="C28" s="37">
        <f t="shared" si="0"/>
        <v>185482.81</v>
      </c>
    </row>
    <row r="29" spans="1:3">
      <c r="A29" s="27">
        <v>59</v>
      </c>
      <c r="C29" s="37">
        <f t="shared" si="0"/>
        <v>59</v>
      </c>
    </row>
    <row r="30" spans="1:3">
      <c r="A30" s="27">
        <v>41643.519999999997</v>
      </c>
      <c r="B30" s="34">
        <v>518.95000000000005</v>
      </c>
      <c r="C30" s="37">
        <f t="shared" si="0"/>
        <v>42162.469999999994</v>
      </c>
    </row>
    <row r="31" spans="1:3">
      <c r="A31" s="27">
        <v>35905.61</v>
      </c>
      <c r="C31" s="37">
        <f t="shared" si="0"/>
        <v>35905.61</v>
      </c>
    </row>
    <row r="32" spans="1:3">
      <c r="A32" s="27">
        <v>2157.6</v>
      </c>
      <c r="C32" s="37">
        <f t="shared" si="0"/>
        <v>2157.6</v>
      </c>
    </row>
    <row r="33" spans="1:3">
      <c r="A33" s="27">
        <v>0</v>
      </c>
      <c r="B33" s="34">
        <v>14683.2</v>
      </c>
      <c r="C33" s="37">
        <f t="shared" si="0"/>
        <v>14683.2</v>
      </c>
    </row>
    <row r="34" spans="1:3">
      <c r="A34" s="27">
        <v>0</v>
      </c>
      <c r="B34" s="34">
        <v>13415.039999999999</v>
      </c>
      <c r="C34" s="37">
        <f t="shared" si="0"/>
        <v>13415.039999999999</v>
      </c>
    </row>
    <row r="35" spans="1:3">
      <c r="A35" s="27">
        <v>1743.94</v>
      </c>
      <c r="C35" s="37">
        <f t="shared" si="0"/>
        <v>1743.94</v>
      </c>
    </row>
    <row r="36" spans="1:3">
      <c r="A36" s="27">
        <v>0</v>
      </c>
      <c r="C36" s="37">
        <f t="shared" si="0"/>
        <v>0</v>
      </c>
    </row>
    <row r="37" spans="1:3">
      <c r="A37" s="27">
        <v>114113.08000000002</v>
      </c>
      <c r="C37" s="37">
        <f t="shared" si="0"/>
        <v>114113.08000000002</v>
      </c>
    </row>
    <row r="38" spans="1:3">
      <c r="A38" s="27">
        <v>0</v>
      </c>
      <c r="C38" s="37">
        <f t="shared" si="0"/>
        <v>0</v>
      </c>
    </row>
    <row r="39" spans="1:3">
      <c r="A39" s="27">
        <v>15469.01</v>
      </c>
      <c r="C39" s="37">
        <f t="shared" si="0"/>
        <v>15469.01</v>
      </c>
    </row>
    <row r="40" spans="1:3">
      <c r="A40" s="27">
        <v>5867.4600000000009</v>
      </c>
      <c r="C40" s="37">
        <f t="shared" si="0"/>
        <v>5867.4600000000009</v>
      </c>
    </row>
    <row r="41" spans="1:3">
      <c r="A41" s="27">
        <v>28827.87</v>
      </c>
      <c r="C41" s="37">
        <f t="shared" si="0"/>
        <v>28827.87</v>
      </c>
    </row>
    <row r="42" spans="1:3">
      <c r="A42" s="27">
        <v>135675.68</v>
      </c>
      <c r="C42" s="37">
        <f t="shared" si="0"/>
        <v>135675.68</v>
      </c>
    </row>
    <row r="43" spans="1:3">
      <c r="A43" s="27">
        <v>10773.11</v>
      </c>
      <c r="C43" s="37">
        <f t="shared" si="0"/>
        <v>10773.11</v>
      </c>
    </row>
    <row r="44" spans="1:3">
      <c r="A44" s="27">
        <v>66104.5</v>
      </c>
      <c r="C44" s="37">
        <f t="shared" si="0"/>
        <v>66104.5</v>
      </c>
    </row>
    <row r="45" spans="1:3">
      <c r="A45" s="27">
        <v>500000</v>
      </c>
      <c r="C45" s="37">
        <f t="shared" si="0"/>
        <v>500000</v>
      </c>
    </row>
    <row r="46" spans="1:3">
      <c r="A46" s="27">
        <v>3300</v>
      </c>
      <c r="C46" s="37">
        <f t="shared" si="0"/>
        <v>3300</v>
      </c>
    </row>
    <row r="47" spans="1:3" ht="12.75">
      <c r="A47" s="30">
        <v>689.04</v>
      </c>
      <c r="B47" s="35"/>
      <c r="C47" s="37">
        <f t="shared" si="0"/>
        <v>689.04</v>
      </c>
    </row>
    <row r="48" spans="1:3">
      <c r="A48" s="27">
        <v>0</v>
      </c>
      <c r="C48" s="37">
        <f t="shared" si="0"/>
        <v>0</v>
      </c>
    </row>
    <row r="49" spans="1:3">
      <c r="A49" s="27">
        <v>2286.08</v>
      </c>
      <c r="C49" s="37">
        <f t="shared" si="0"/>
        <v>2286.08</v>
      </c>
    </row>
    <row r="50" spans="1:3">
      <c r="A50" s="27">
        <v>153600.86000000002</v>
      </c>
      <c r="C50" s="37">
        <f t="shared" si="0"/>
        <v>153600.86000000002</v>
      </c>
    </row>
    <row r="51" spans="1:3">
      <c r="A51" s="27">
        <v>0</v>
      </c>
      <c r="C51" s="37">
        <f t="shared" si="0"/>
        <v>0</v>
      </c>
    </row>
    <row r="52" spans="1:3">
      <c r="A52" s="27">
        <v>13172</v>
      </c>
      <c r="B52" s="34">
        <v>185684.71</v>
      </c>
      <c r="C52" s="37">
        <f t="shared" si="0"/>
        <v>198856.71</v>
      </c>
    </row>
    <row r="53" spans="1:3">
      <c r="A53" s="27">
        <v>0</v>
      </c>
      <c r="C53" s="37">
        <f t="shared" si="0"/>
        <v>0</v>
      </c>
    </row>
    <row r="54" spans="1:3">
      <c r="A54" s="27">
        <v>0</v>
      </c>
      <c r="C54" s="37">
        <f t="shared" si="0"/>
        <v>0</v>
      </c>
    </row>
    <row r="55" spans="1:3">
      <c r="A55" s="27">
        <v>0</v>
      </c>
      <c r="C55" s="37">
        <f t="shared" si="0"/>
        <v>0</v>
      </c>
    </row>
    <row r="56" spans="1:3">
      <c r="A56" s="27">
        <v>183403.41999999998</v>
      </c>
      <c r="C56" s="37">
        <f t="shared" si="0"/>
        <v>183403.41999999998</v>
      </c>
    </row>
    <row r="57" spans="1:3">
      <c r="A57" s="27">
        <v>12246</v>
      </c>
      <c r="C57" s="37">
        <f t="shared" si="0"/>
        <v>12246</v>
      </c>
    </row>
    <row r="58" spans="1:3">
      <c r="A58" s="27">
        <v>0</v>
      </c>
      <c r="C58" s="37">
        <f t="shared" si="0"/>
        <v>0</v>
      </c>
    </row>
    <row r="59" spans="1:3">
      <c r="A59" s="27">
        <v>0</v>
      </c>
      <c r="C59" s="37">
        <f t="shared" si="0"/>
        <v>0</v>
      </c>
    </row>
    <row r="60" spans="1:3">
      <c r="A60" s="27">
        <v>0</v>
      </c>
      <c r="C60" s="37">
        <f t="shared" si="0"/>
        <v>0</v>
      </c>
    </row>
    <row r="61" spans="1:3">
      <c r="A61" s="34">
        <f>SUM(A2:A60)</f>
        <v>7614980.3300000001</v>
      </c>
      <c r="B61" s="34">
        <f>SUM(B2:B60)</f>
        <v>918906.52999999991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base</vt:lpstr>
      <vt:lpstr>Hoja2</vt:lpstr>
      <vt:lpstr>Hoja3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MEXIQUENSE</dc:creator>
  <cp:lastModifiedBy>JUAN CARLOS ALDERETE ESPINIELLA</cp:lastModifiedBy>
  <cp:lastPrinted>2011-07-12T01:38:26Z</cp:lastPrinted>
  <dcterms:created xsi:type="dcterms:W3CDTF">2010-04-20T20:18:55Z</dcterms:created>
  <dcterms:modified xsi:type="dcterms:W3CDTF">2011-08-15T21:26:17Z</dcterms:modified>
</cp:coreProperties>
</file>